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U-SILC dissemination\1 - Publications\10 - Statistics explained\2019\Quality of Life\Updated Statistics explained\"/>
    </mc:Choice>
  </mc:AlternateContent>
  <bookViews>
    <workbookView xWindow="0" yWindow="0" windowWidth="19200" windowHeight="8100" activeTab="9"/>
  </bookViews>
  <sheets>
    <sheet name="Table 1" sheetId="17" r:id="rId1"/>
    <sheet name="Table 2" sheetId="35" r:id="rId2"/>
    <sheet name="Figure 1 " sheetId="14" r:id="rId3"/>
    <sheet name="Figure 2" sheetId="9" r:id="rId4"/>
    <sheet name="Figure 3" sheetId="10" r:id="rId5"/>
    <sheet name="Figure 4  " sheetId="22" r:id="rId6"/>
    <sheet name="Figure 5" sheetId="15" r:id="rId7"/>
    <sheet name="Figure 6" sheetId="37" r:id="rId8"/>
    <sheet name="Figure 7" sheetId="31" r:id="rId9"/>
    <sheet name="Figure 8" sheetId="20" r:id="rId10"/>
    <sheet name="Figure 9" sheetId="30" r:id="rId11"/>
    <sheet name="Figure 10" sheetId="32" r:id="rId12"/>
    <sheet name="Figure 11" sheetId="2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0" l="1"/>
  <c r="K25" i="20"/>
  <c r="L26" i="20"/>
  <c r="K26" i="20"/>
  <c r="J26" i="20"/>
  <c r="L25" i="20"/>
  <c r="J25" i="20"/>
  <c r="L14" i="20"/>
  <c r="K14" i="20"/>
  <c r="J14" i="20"/>
  <c r="J15" i="20"/>
  <c r="K15" i="20"/>
  <c r="L15" i="20"/>
  <c r="J16" i="20"/>
  <c r="K16" i="20"/>
  <c r="L16" i="20"/>
  <c r="J17" i="20"/>
  <c r="K17" i="20"/>
  <c r="L17" i="20"/>
  <c r="J18" i="20"/>
  <c r="K18" i="20"/>
  <c r="L18" i="20"/>
  <c r="J19" i="20"/>
  <c r="K19" i="20"/>
  <c r="L19" i="20"/>
  <c r="J20" i="20"/>
  <c r="K20" i="20"/>
  <c r="L20" i="20"/>
  <c r="J21" i="20"/>
  <c r="K21" i="20"/>
  <c r="L21" i="20"/>
  <c r="J22" i="20"/>
  <c r="K22" i="20"/>
  <c r="L22" i="20"/>
  <c r="J23" i="20"/>
  <c r="K23" i="20"/>
  <c r="L23" i="20"/>
  <c r="J24" i="20"/>
  <c r="K24" i="20"/>
  <c r="L24" i="20"/>
  <c r="L27" i="20"/>
  <c r="E33" i="20"/>
  <c r="E30" i="20"/>
  <c r="E12" i="20"/>
  <c r="K27" i="20"/>
  <c r="D33" i="20"/>
  <c r="D30" i="20"/>
  <c r="D12" i="20"/>
  <c r="C33" i="20"/>
  <c r="C12" i="20"/>
  <c r="C30" i="20"/>
  <c r="L4" i="20"/>
  <c r="E38" i="20"/>
  <c r="K4" i="20"/>
  <c r="D38" i="20"/>
  <c r="J4" i="20"/>
  <c r="C38" i="20"/>
  <c r="F83" i="10" l="1"/>
  <c r="H34" i="24" l="1"/>
  <c r="H21" i="24"/>
  <c r="D22" i="24"/>
  <c r="D7" i="22"/>
  <c r="F7" i="22" l="1"/>
  <c r="D4" i="22"/>
  <c r="E4" i="37"/>
  <c r="E3" i="37"/>
  <c r="D3" i="37"/>
  <c r="D4" i="37"/>
  <c r="C4" i="37"/>
  <c r="C3" i="37"/>
  <c r="G4" i="24"/>
  <c r="F4" i="24"/>
  <c r="E4" i="24"/>
  <c r="D4" i="24"/>
  <c r="C4" i="24"/>
  <c r="K29" i="24" l="1"/>
  <c r="K21" i="24"/>
  <c r="K16" i="24"/>
  <c r="H29" i="24"/>
  <c r="H16" i="24"/>
  <c r="G29" i="24"/>
  <c r="F29" i="24"/>
  <c r="E29" i="24"/>
  <c r="D29" i="24"/>
  <c r="C29" i="24"/>
  <c r="G50" i="24"/>
  <c r="G21" i="24"/>
  <c r="F21" i="24"/>
  <c r="E21" i="24"/>
  <c r="D21" i="24"/>
  <c r="G71" i="24"/>
  <c r="G70" i="24"/>
  <c r="F50" i="24"/>
  <c r="G16" i="24"/>
  <c r="F16" i="24"/>
  <c r="E16" i="24"/>
  <c r="C16" i="24"/>
  <c r="G68" i="24" l="1"/>
  <c r="F68" i="24"/>
  <c r="C68" i="24"/>
  <c r="F71" i="24" l="1"/>
  <c r="E71" i="24"/>
  <c r="E50" i="24"/>
  <c r="E68" i="24"/>
  <c r="D50" i="24"/>
  <c r="D71" i="24"/>
  <c r="C50" i="24"/>
  <c r="G42" i="24"/>
  <c r="F42" i="24"/>
  <c r="E42" i="24"/>
  <c r="D42" i="24"/>
  <c r="C42" i="24"/>
  <c r="L33" i="20" l="1"/>
  <c r="K33" i="20"/>
  <c r="J33" i="20"/>
  <c r="L32" i="20"/>
  <c r="K32" i="20"/>
  <c r="J32" i="20"/>
  <c r="L31" i="20"/>
  <c r="K31" i="20"/>
  <c r="J31" i="20"/>
  <c r="L30" i="20"/>
  <c r="K30" i="20"/>
  <c r="J30" i="20"/>
  <c r="L29" i="20"/>
  <c r="K29" i="20"/>
  <c r="J29" i="20"/>
  <c r="L28" i="20"/>
  <c r="K28" i="20"/>
  <c r="J28" i="20"/>
  <c r="L13" i="20"/>
  <c r="K13" i="20"/>
  <c r="J13" i="20"/>
  <c r="L12" i="20"/>
  <c r="K12" i="20"/>
  <c r="J12" i="20"/>
  <c r="L11" i="20"/>
  <c r="K11" i="20"/>
  <c r="J11" i="20"/>
  <c r="L10" i="20"/>
  <c r="K10" i="20"/>
  <c r="J10" i="20"/>
  <c r="L9" i="20"/>
  <c r="K9" i="20"/>
  <c r="J9" i="20"/>
  <c r="L8" i="20"/>
  <c r="K8" i="20"/>
  <c r="J8" i="20"/>
  <c r="L7" i="20"/>
  <c r="K7" i="20"/>
  <c r="J7" i="20"/>
  <c r="L6" i="20"/>
  <c r="K6" i="20"/>
  <c r="J6" i="20"/>
  <c r="L36" i="20"/>
  <c r="K36" i="20"/>
  <c r="J36" i="20"/>
  <c r="L35" i="20"/>
  <c r="K35" i="20"/>
  <c r="J35" i="20"/>
  <c r="E36" i="20"/>
  <c r="D36" i="20"/>
  <c r="C36" i="20"/>
  <c r="E35" i="20"/>
  <c r="D35" i="20"/>
  <c r="C35" i="20"/>
  <c r="E32" i="20"/>
  <c r="D32" i="20"/>
  <c r="C32" i="20"/>
  <c r="E31" i="20"/>
  <c r="D31" i="20"/>
  <c r="C31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1" i="20"/>
  <c r="D11" i="20"/>
  <c r="C11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F7" i="15"/>
  <c r="F6" i="15"/>
  <c r="F5" i="15"/>
  <c r="E7" i="15"/>
  <c r="E6" i="15"/>
  <c r="E5" i="15"/>
  <c r="D7" i="15"/>
  <c r="D6" i="15"/>
  <c r="D5" i="15"/>
  <c r="F7" i="10"/>
  <c r="E7" i="10"/>
  <c r="D7" i="10"/>
  <c r="L7" i="14" l="1"/>
  <c r="K7" i="14"/>
  <c r="J7" i="14"/>
  <c r="F9" i="22"/>
  <c r="F8" i="22"/>
  <c r="F6" i="22"/>
  <c r="E9" i="22"/>
  <c r="E8" i="22"/>
  <c r="E7" i="22"/>
  <c r="D9" i="22"/>
  <c r="D8" i="22"/>
  <c r="D6" i="22"/>
  <c r="F5" i="22"/>
  <c r="F4" i="22"/>
  <c r="E6" i="22"/>
  <c r="E5" i="22"/>
  <c r="E4" i="22"/>
  <c r="D5" i="22"/>
  <c r="F82" i="10"/>
  <c r="E83" i="10"/>
  <c r="E82" i="10"/>
  <c r="D83" i="10"/>
  <c r="D82" i="10"/>
  <c r="F68" i="10"/>
  <c r="F67" i="10"/>
  <c r="E68" i="10"/>
  <c r="E67" i="10"/>
  <c r="D68" i="10"/>
  <c r="D67" i="10"/>
  <c r="F32" i="10"/>
  <c r="F31" i="10"/>
  <c r="E32" i="10"/>
  <c r="E31" i="10"/>
  <c r="D32" i="10"/>
  <c r="D31" i="10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L35" i="14"/>
  <c r="K35" i="14"/>
  <c r="J35" i="14"/>
  <c r="L32" i="14"/>
  <c r="K32" i="14"/>
  <c r="J32" i="14"/>
  <c r="L29" i="14"/>
  <c r="K29" i="14"/>
  <c r="J29" i="14"/>
  <c r="L23" i="14"/>
  <c r="K23" i="14"/>
  <c r="J23" i="14"/>
  <c r="L19" i="14"/>
  <c r="K19" i="14"/>
  <c r="J19" i="14"/>
  <c r="L18" i="14"/>
  <c r="K18" i="14"/>
  <c r="J18" i="14"/>
  <c r="L17" i="14"/>
  <c r="K17" i="14"/>
  <c r="J17" i="14"/>
  <c r="L16" i="14"/>
  <c r="K16" i="14"/>
  <c r="J16" i="14"/>
  <c r="L15" i="14"/>
  <c r="K15" i="14"/>
  <c r="J15" i="14"/>
  <c r="L14" i="14"/>
  <c r="K14" i="14"/>
  <c r="J14" i="14"/>
  <c r="L13" i="14"/>
  <c r="K13" i="14"/>
  <c r="J13" i="14"/>
  <c r="L22" i="14"/>
  <c r="K22" i="14"/>
  <c r="J22" i="14"/>
  <c r="J30" i="14"/>
  <c r="K30" i="14"/>
  <c r="L30" i="14"/>
  <c r="J31" i="14"/>
  <c r="K31" i="14"/>
  <c r="L31" i="14"/>
  <c r="L33" i="14"/>
  <c r="K33" i="14"/>
  <c r="J33" i="14"/>
  <c r="L34" i="14"/>
  <c r="K34" i="14"/>
  <c r="J34" i="14"/>
  <c r="F53" i="10" l="1"/>
  <c r="E53" i="10"/>
  <c r="D53" i="10"/>
  <c r="F52" i="10"/>
  <c r="E52" i="10"/>
  <c r="D52" i="10"/>
  <c r="L25" i="14"/>
  <c r="K25" i="14"/>
  <c r="J25" i="14"/>
  <c r="E16" i="10" l="1"/>
  <c r="F80" i="10" l="1"/>
  <c r="E80" i="10"/>
  <c r="D80" i="10"/>
  <c r="F79" i="10"/>
  <c r="E79" i="10"/>
  <c r="D79" i="10"/>
  <c r="F77" i="10"/>
  <c r="E77" i="10"/>
  <c r="D77" i="10"/>
  <c r="F76" i="10"/>
  <c r="E76" i="10"/>
  <c r="D76" i="10"/>
  <c r="F74" i="10"/>
  <c r="E74" i="10"/>
  <c r="D74" i="10"/>
  <c r="F73" i="10"/>
  <c r="E73" i="10"/>
  <c r="D73" i="10"/>
  <c r="F71" i="10"/>
  <c r="E71" i="10"/>
  <c r="D71" i="10"/>
  <c r="F70" i="10"/>
  <c r="E70" i="10"/>
  <c r="D70" i="10"/>
  <c r="F65" i="10"/>
  <c r="E65" i="10"/>
  <c r="D65" i="10"/>
  <c r="F64" i="10"/>
  <c r="E64" i="10"/>
  <c r="D64" i="10"/>
  <c r="F62" i="10"/>
  <c r="E62" i="10"/>
  <c r="D62" i="10"/>
  <c r="F61" i="10"/>
  <c r="E61" i="10"/>
  <c r="D61" i="10"/>
  <c r="F59" i="10"/>
  <c r="E59" i="10"/>
  <c r="D59" i="10"/>
  <c r="F58" i="10"/>
  <c r="E58" i="10"/>
  <c r="D58" i="10"/>
  <c r="F56" i="10"/>
  <c r="E56" i="10"/>
  <c r="D56" i="10"/>
  <c r="F55" i="10"/>
  <c r="E55" i="10"/>
  <c r="D55" i="10"/>
  <c r="F47" i="10"/>
  <c r="E47" i="10"/>
  <c r="D47" i="10"/>
  <c r="F46" i="10"/>
  <c r="E46" i="10"/>
  <c r="D46" i="10"/>
  <c r="F44" i="10"/>
  <c r="E44" i="10"/>
  <c r="D44" i="10"/>
  <c r="F43" i="10"/>
  <c r="E43" i="10"/>
  <c r="D43" i="10"/>
  <c r="F41" i="10"/>
  <c r="E41" i="10"/>
  <c r="D41" i="10"/>
  <c r="F40" i="10"/>
  <c r="E40" i="10"/>
  <c r="D40" i="10"/>
  <c r="F38" i="10"/>
  <c r="E38" i="10"/>
  <c r="D38" i="10"/>
  <c r="F37" i="10"/>
  <c r="E37" i="10"/>
  <c r="D37" i="10"/>
  <c r="F35" i="10"/>
  <c r="E35" i="10"/>
  <c r="D35" i="10"/>
  <c r="F34" i="10"/>
  <c r="E34" i="10"/>
  <c r="D34" i="10"/>
  <c r="F29" i="10"/>
  <c r="E29" i="10"/>
  <c r="D29" i="10"/>
  <c r="F28" i="10"/>
  <c r="E28" i="10"/>
  <c r="D28" i="10"/>
  <c r="F23" i="10"/>
  <c r="E23" i="10"/>
  <c r="D23" i="10"/>
  <c r="F22" i="10"/>
  <c r="E22" i="10"/>
  <c r="D22" i="10"/>
  <c r="F20" i="10"/>
  <c r="E20" i="10"/>
  <c r="D20" i="10"/>
  <c r="F19" i="10"/>
  <c r="E19" i="10"/>
  <c r="D19" i="10"/>
  <c r="F17" i="10"/>
  <c r="E17" i="10"/>
  <c r="D17" i="10"/>
  <c r="F16" i="10"/>
  <c r="D16" i="10"/>
  <c r="D86" i="10"/>
  <c r="K5" i="24" l="1"/>
  <c r="G24" i="24" l="1"/>
  <c r="F24" i="24"/>
  <c r="K24" i="24" s="1"/>
  <c r="E24" i="24"/>
  <c r="D24" i="24"/>
  <c r="C24" i="24"/>
  <c r="C46" i="24"/>
  <c r="F99" i="10" l="1"/>
  <c r="E99" i="10"/>
  <c r="D99" i="10"/>
  <c r="F98" i="10"/>
  <c r="E98" i="10"/>
  <c r="D98" i="10"/>
  <c r="F96" i="10"/>
  <c r="E96" i="10"/>
  <c r="D96" i="10"/>
  <c r="F95" i="10"/>
  <c r="E95" i="10"/>
  <c r="D95" i="10"/>
  <c r="H36" i="9"/>
  <c r="H37" i="9"/>
  <c r="L39" i="14"/>
  <c r="K39" i="14"/>
  <c r="J39" i="14"/>
  <c r="L38" i="14"/>
  <c r="K38" i="14"/>
  <c r="J38" i="14"/>
  <c r="K5" i="31" l="1"/>
  <c r="K7" i="31"/>
  <c r="K8" i="31"/>
  <c r="K9" i="31"/>
  <c r="K10" i="31"/>
  <c r="K11" i="31"/>
  <c r="K12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2" i="31"/>
  <c r="K33" i="31"/>
  <c r="K35" i="31"/>
  <c r="K36" i="31"/>
  <c r="K37" i="31"/>
  <c r="K4" i="24" l="1"/>
  <c r="G74" i="24"/>
  <c r="F74" i="24"/>
  <c r="E74" i="24"/>
  <c r="D74" i="24"/>
  <c r="C74" i="24"/>
  <c r="G73" i="24"/>
  <c r="F73" i="24"/>
  <c r="E73" i="24"/>
  <c r="D73" i="24"/>
  <c r="C73" i="24"/>
  <c r="F70" i="24"/>
  <c r="E70" i="24"/>
  <c r="D70" i="24"/>
  <c r="C70" i="24"/>
  <c r="G69" i="24"/>
  <c r="F69" i="24"/>
  <c r="E69" i="24"/>
  <c r="D69" i="24"/>
  <c r="C69" i="24"/>
  <c r="G67" i="24"/>
  <c r="F67" i="24"/>
  <c r="E67" i="24"/>
  <c r="D67" i="24"/>
  <c r="C67" i="24"/>
  <c r="G66" i="24"/>
  <c r="F66" i="24"/>
  <c r="E66" i="24"/>
  <c r="D66" i="24"/>
  <c r="C66" i="24"/>
  <c r="G65" i="24"/>
  <c r="F65" i="24"/>
  <c r="E65" i="24"/>
  <c r="D65" i="24"/>
  <c r="C65" i="24"/>
  <c r="G64" i="24"/>
  <c r="F64" i="24"/>
  <c r="E64" i="24"/>
  <c r="D64" i="24"/>
  <c r="C64" i="24"/>
  <c r="G63" i="24"/>
  <c r="F63" i="24"/>
  <c r="E63" i="24"/>
  <c r="D63" i="24"/>
  <c r="C63" i="24"/>
  <c r="G62" i="24"/>
  <c r="F62" i="24"/>
  <c r="E62" i="24"/>
  <c r="D62" i="24"/>
  <c r="C62" i="24"/>
  <c r="G61" i="24"/>
  <c r="F61" i="24"/>
  <c r="E61" i="24"/>
  <c r="D61" i="24"/>
  <c r="C61" i="24"/>
  <c r="G60" i="24"/>
  <c r="F60" i="24"/>
  <c r="E60" i="24"/>
  <c r="D60" i="24"/>
  <c r="C60" i="24"/>
  <c r="G59" i="24"/>
  <c r="F59" i="24"/>
  <c r="E59" i="24"/>
  <c r="D59" i="24"/>
  <c r="C59" i="24"/>
  <c r="G58" i="24"/>
  <c r="F58" i="24"/>
  <c r="E58" i="24"/>
  <c r="D58" i="24"/>
  <c r="C58" i="24"/>
  <c r="G57" i="24"/>
  <c r="F57" i="24"/>
  <c r="E57" i="24"/>
  <c r="D57" i="24"/>
  <c r="C57" i="24"/>
  <c r="G56" i="24"/>
  <c r="F56" i="24"/>
  <c r="E56" i="24"/>
  <c r="D56" i="24"/>
  <c r="C56" i="24"/>
  <c r="G55" i="24"/>
  <c r="F55" i="24"/>
  <c r="E55" i="24"/>
  <c r="D55" i="24"/>
  <c r="C55" i="24"/>
  <c r="G54" i="24"/>
  <c r="F54" i="24"/>
  <c r="E54" i="24"/>
  <c r="D54" i="24"/>
  <c r="C54" i="24"/>
  <c r="G53" i="24"/>
  <c r="F53" i="24"/>
  <c r="E53" i="24"/>
  <c r="D53" i="24"/>
  <c r="C53" i="24"/>
  <c r="G52" i="24"/>
  <c r="F52" i="24"/>
  <c r="E52" i="24"/>
  <c r="D52" i="24"/>
  <c r="C52" i="24"/>
  <c r="G51" i="24"/>
  <c r="F51" i="24"/>
  <c r="E51" i="24"/>
  <c r="D51" i="24"/>
  <c r="C51" i="24"/>
  <c r="G49" i="24"/>
  <c r="F49" i="24"/>
  <c r="E49" i="24"/>
  <c r="D49" i="24"/>
  <c r="C49" i="24"/>
  <c r="G48" i="24"/>
  <c r="F48" i="24"/>
  <c r="E48" i="24"/>
  <c r="D48" i="24"/>
  <c r="C48" i="24"/>
  <c r="G47" i="24"/>
  <c r="F47" i="24"/>
  <c r="E47" i="24"/>
  <c r="D47" i="24"/>
  <c r="C47" i="24"/>
  <c r="G46" i="24"/>
  <c r="F46" i="24"/>
  <c r="E46" i="24"/>
  <c r="D46" i="24"/>
  <c r="G45" i="24"/>
  <c r="F45" i="24"/>
  <c r="E45" i="24"/>
  <c r="D45" i="24"/>
  <c r="C45" i="24"/>
  <c r="G44" i="24"/>
  <c r="F44" i="24"/>
  <c r="E44" i="24"/>
  <c r="D44" i="24"/>
  <c r="C44" i="24"/>
  <c r="G36" i="24" l="1"/>
  <c r="G35" i="24"/>
  <c r="G22" i="24"/>
  <c r="G20" i="24"/>
  <c r="G19" i="24"/>
  <c r="G7" i="24"/>
  <c r="G27" i="24"/>
  <c r="G31" i="24"/>
  <c r="G26" i="24"/>
  <c r="G9" i="24"/>
  <c r="G17" i="24"/>
  <c r="G25" i="24"/>
  <c r="G14" i="24"/>
  <c r="G6" i="24"/>
  <c r="G15" i="24"/>
  <c r="G30" i="24"/>
  <c r="G8" i="24"/>
  <c r="G28" i="24"/>
  <c r="G33" i="24"/>
  <c r="G18" i="24"/>
  <c r="G13" i="24"/>
  <c r="G10" i="24"/>
  <c r="G23" i="24"/>
  <c r="G11" i="24"/>
  <c r="G12" i="24"/>
  <c r="F36" i="24"/>
  <c r="K36" i="24" s="1"/>
  <c r="F35" i="24"/>
  <c r="K35" i="24" s="1"/>
  <c r="F22" i="24"/>
  <c r="K22" i="24" s="1"/>
  <c r="F20" i="24"/>
  <c r="F19" i="24"/>
  <c r="K19" i="24" s="1"/>
  <c r="F7" i="24"/>
  <c r="K7" i="24" s="1"/>
  <c r="F27" i="24"/>
  <c r="K27" i="24" s="1"/>
  <c r="F31" i="24"/>
  <c r="F26" i="24"/>
  <c r="K26" i="24" s="1"/>
  <c r="F9" i="24"/>
  <c r="K9" i="24" s="1"/>
  <c r="F17" i="24"/>
  <c r="K17" i="24" s="1"/>
  <c r="F25" i="24"/>
  <c r="F14" i="24"/>
  <c r="K14" i="24" s="1"/>
  <c r="F6" i="24"/>
  <c r="K6" i="24" s="1"/>
  <c r="F15" i="24"/>
  <c r="K15" i="24" s="1"/>
  <c r="F30" i="24"/>
  <c r="F8" i="24"/>
  <c r="K8" i="24" s="1"/>
  <c r="F28" i="24"/>
  <c r="K28" i="24" s="1"/>
  <c r="F33" i="24"/>
  <c r="K33" i="24" s="1"/>
  <c r="F18" i="24"/>
  <c r="F13" i="24"/>
  <c r="K13" i="24" s="1"/>
  <c r="F10" i="24"/>
  <c r="K10" i="24" s="1"/>
  <c r="F23" i="24"/>
  <c r="K23" i="24" s="1"/>
  <c r="F11" i="24"/>
  <c r="F12" i="24"/>
  <c r="K12" i="24" s="1"/>
  <c r="E36" i="24"/>
  <c r="E35" i="24"/>
  <c r="E22" i="24"/>
  <c r="E20" i="24"/>
  <c r="E19" i="24"/>
  <c r="E7" i="24"/>
  <c r="E27" i="24"/>
  <c r="E31" i="24"/>
  <c r="E26" i="24"/>
  <c r="E9" i="24"/>
  <c r="E17" i="24"/>
  <c r="E25" i="24"/>
  <c r="E14" i="24"/>
  <c r="E6" i="24"/>
  <c r="E15" i="24"/>
  <c r="E30" i="24"/>
  <c r="E8" i="24"/>
  <c r="E28" i="24"/>
  <c r="E33" i="24"/>
  <c r="E18" i="24"/>
  <c r="E13" i="24"/>
  <c r="E10" i="24"/>
  <c r="E23" i="24"/>
  <c r="E11" i="24"/>
  <c r="E12" i="24"/>
  <c r="D36" i="24"/>
  <c r="D35" i="24"/>
  <c r="D20" i="24"/>
  <c r="D19" i="24"/>
  <c r="D7" i="24"/>
  <c r="D27" i="24"/>
  <c r="D31" i="24"/>
  <c r="D26" i="24"/>
  <c r="D9" i="24"/>
  <c r="D17" i="24"/>
  <c r="D25" i="24"/>
  <c r="D14" i="24"/>
  <c r="D6" i="24"/>
  <c r="D15" i="24"/>
  <c r="D30" i="24"/>
  <c r="D8" i="24"/>
  <c r="D28" i="24"/>
  <c r="D33" i="24"/>
  <c r="D18" i="24"/>
  <c r="D13" i="24"/>
  <c r="D10" i="24"/>
  <c r="D23" i="24"/>
  <c r="D11" i="24"/>
  <c r="D12" i="24"/>
  <c r="C20" i="24"/>
  <c r="C19" i="24"/>
  <c r="C7" i="24"/>
  <c r="C27" i="24"/>
  <c r="H27" i="24" s="1"/>
  <c r="C31" i="24"/>
  <c r="C26" i="24"/>
  <c r="C9" i="24"/>
  <c r="H9" i="24" s="1"/>
  <c r="C17" i="24"/>
  <c r="C25" i="24"/>
  <c r="C14" i="24"/>
  <c r="C36" i="24"/>
  <c r="C35" i="24"/>
  <c r="H35" i="24" s="1"/>
  <c r="C22" i="24"/>
  <c r="C6" i="24"/>
  <c r="H6" i="24" s="1"/>
  <c r="C15" i="24"/>
  <c r="H15" i="24" s="1"/>
  <c r="C30" i="24"/>
  <c r="C8" i="24"/>
  <c r="C28" i="24"/>
  <c r="H28" i="24" s="1"/>
  <c r="C33" i="24"/>
  <c r="H33" i="24" s="1"/>
  <c r="C18" i="24"/>
  <c r="C13" i="24"/>
  <c r="C10" i="24"/>
  <c r="H10" i="24" s="1"/>
  <c r="C23" i="24"/>
  <c r="H23" i="24" s="1"/>
  <c r="C11" i="24"/>
  <c r="C12" i="24"/>
  <c r="G32" i="24"/>
  <c r="F32" i="24"/>
  <c r="K32" i="24" s="1"/>
  <c r="E32" i="24"/>
  <c r="D32" i="24"/>
  <c r="C32" i="24"/>
  <c r="H32" i="24" s="1"/>
  <c r="H22" i="24" l="1"/>
  <c r="H36" i="24"/>
  <c r="K11" i="24"/>
  <c r="K18" i="24"/>
  <c r="K30" i="24"/>
  <c r="K25" i="24"/>
  <c r="K31" i="24"/>
  <c r="K20" i="24"/>
  <c r="H14" i="24"/>
  <c r="H7" i="24"/>
  <c r="H12" i="24"/>
  <c r="H8" i="24"/>
  <c r="H24" i="24"/>
  <c r="H26" i="24"/>
  <c r="H13" i="24"/>
  <c r="H25" i="24"/>
  <c r="H19" i="24"/>
  <c r="H11" i="24"/>
  <c r="H18" i="24"/>
  <c r="H30" i="24"/>
  <c r="H17" i="24"/>
  <c r="H31" i="24"/>
  <c r="H20" i="24"/>
  <c r="F6" i="10" l="1"/>
  <c r="E6" i="10"/>
  <c r="D6" i="10"/>
  <c r="H5" i="9"/>
  <c r="L36" i="14" l="1"/>
  <c r="K36" i="14"/>
  <c r="J36" i="14"/>
  <c r="L28" i="14"/>
  <c r="K28" i="14"/>
  <c r="J28" i="14"/>
  <c r="L27" i="14"/>
  <c r="K27" i="14"/>
  <c r="J27" i="14"/>
  <c r="L26" i="14"/>
  <c r="K26" i="14"/>
  <c r="J26" i="14"/>
  <c r="L24" i="14"/>
  <c r="K24" i="14"/>
  <c r="J24" i="14"/>
  <c r="L21" i="14"/>
  <c r="K21" i="14"/>
  <c r="J21" i="14"/>
  <c r="L20" i="14"/>
  <c r="K20" i="14"/>
  <c r="J20" i="14"/>
  <c r="L12" i="14"/>
  <c r="K12" i="14"/>
  <c r="J12" i="14"/>
  <c r="L11" i="14"/>
  <c r="K11" i="14"/>
  <c r="J11" i="14"/>
  <c r="L10" i="14"/>
  <c r="K10" i="14"/>
  <c r="J10" i="14"/>
  <c r="L9" i="14"/>
  <c r="K9" i="14"/>
  <c r="J9" i="14"/>
  <c r="E26" i="10" l="1"/>
  <c r="D92" i="10" l="1"/>
  <c r="E92" i="10"/>
  <c r="F92" i="10"/>
  <c r="F91" i="10"/>
  <c r="E91" i="10"/>
  <c r="D91" i="10"/>
  <c r="F89" i="10"/>
  <c r="E89" i="10"/>
  <c r="D89" i="10"/>
  <c r="F88" i="10"/>
  <c r="E88" i="10"/>
  <c r="D88" i="10"/>
  <c r="F86" i="10"/>
  <c r="F85" i="10"/>
  <c r="E86" i="10"/>
  <c r="E85" i="10"/>
  <c r="D85" i="10"/>
  <c r="F50" i="10"/>
  <c r="E50" i="10"/>
  <c r="D50" i="10"/>
  <c r="F49" i="10"/>
  <c r="E49" i="10"/>
  <c r="D49" i="10"/>
  <c r="F26" i="10"/>
  <c r="F25" i="10"/>
  <c r="E25" i="10"/>
  <c r="D26" i="10"/>
  <c r="D25" i="10"/>
  <c r="F14" i="10"/>
  <c r="F13" i="10"/>
  <c r="E14" i="10"/>
  <c r="D14" i="10"/>
  <c r="E13" i="10"/>
  <c r="D13" i="10"/>
  <c r="D11" i="10" l="1"/>
  <c r="E11" i="10"/>
  <c r="F11" i="10"/>
  <c r="F10" i="10"/>
  <c r="E10" i="10"/>
  <c r="D10" i="10" l="1"/>
</calcChain>
</file>

<file path=xl/sharedStrings.xml><?xml version="1.0" encoding="utf-8"?>
<sst xmlns="http://schemas.openxmlformats.org/spreadsheetml/2006/main" count="675" uniqueCount="158">
  <si>
    <t>shares of low/medium/high answers</t>
  </si>
  <si>
    <t>low</t>
  </si>
  <si>
    <t>medium</t>
  </si>
  <si>
    <t>high</t>
  </si>
  <si>
    <t>mean value</t>
  </si>
  <si>
    <t>AT</t>
  </si>
  <si>
    <t>BE</t>
  </si>
  <si>
    <t>BG</t>
  </si>
  <si>
    <t>CY</t>
  </si>
  <si>
    <t>EE</t>
  </si>
  <si>
    <t>EL</t>
  </si>
  <si>
    <t>ES</t>
  </si>
  <si>
    <t>HR</t>
  </si>
  <si>
    <t>HU</t>
  </si>
  <si>
    <t>LT</t>
  </si>
  <si>
    <t>LV</t>
  </si>
  <si>
    <t>MT</t>
  </si>
  <si>
    <t>PT</t>
  </si>
  <si>
    <t>RO</t>
  </si>
  <si>
    <t>CZ</t>
  </si>
  <si>
    <t>FI</t>
  </si>
  <si>
    <t>IT</t>
  </si>
  <si>
    <t>PL</t>
  </si>
  <si>
    <t>SI</t>
  </si>
  <si>
    <t>DK</t>
  </si>
  <si>
    <t>NL</t>
  </si>
  <si>
    <t>NO</t>
  </si>
  <si>
    <t>SE</t>
  </si>
  <si>
    <t>EU-28</t>
  </si>
  <si>
    <t>75+</t>
  </si>
  <si>
    <t>65-74</t>
  </si>
  <si>
    <t>50-64</t>
  </si>
  <si>
    <t>35-49</t>
  </si>
  <si>
    <t>25-34</t>
  </si>
  <si>
    <t>16-24</t>
  </si>
  <si>
    <t>comparison to 2013:</t>
  </si>
  <si>
    <t>comparison to 2013</t>
  </si>
  <si>
    <t>Low</t>
  </si>
  <si>
    <t>Medium</t>
  </si>
  <si>
    <t>High</t>
  </si>
  <si>
    <t>LU</t>
  </si>
  <si>
    <t>FR</t>
  </si>
  <si>
    <t>Difference</t>
  </si>
  <si>
    <t>Male</t>
  </si>
  <si>
    <t>DE</t>
  </si>
  <si>
    <t xml:space="preserve">Mean Value by income quantile </t>
  </si>
  <si>
    <t xml:space="preserve">Satisfaction with financial situation </t>
  </si>
  <si>
    <r>
      <t xml:space="preserve">Shares of low/medium/high answers: </t>
    </r>
    <r>
      <rPr>
        <b/>
        <sz val="9"/>
        <color theme="1"/>
        <rFont val="Arial"/>
        <family val="2"/>
      </rPr>
      <t>ilc_pw05</t>
    </r>
  </si>
  <si>
    <r>
      <t>Mean Value:</t>
    </r>
    <r>
      <rPr>
        <b/>
        <sz val="9"/>
        <color theme="1"/>
        <rFont val="Arial"/>
        <family val="2"/>
      </rPr>
      <t xml:space="preserve"> ilc_pw01</t>
    </r>
  </si>
  <si>
    <t>Sorted by mean + /100</t>
  </si>
  <si>
    <t>CH</t>
  </si>
  <si>
    <r>
      <t>Source:</t>
    </r>
    <r>
      <rPr>
        <sz val="9"/>
        <color theme="1"/>
        <rFont val="Arial"/>
        <family val="2"/>
      </rPr>
      <t xml:space="preserve"> Eurostat (online data code: ilc_pw01 and ilc_pw05)</t>
    </r>
  </si>
  <si>
    <t>Female</t>
  </si>
  <si>
    <t>Single person</t>
  </si>
  <si>
    <t>Two adults</t>
  </si>
  <si>
    <t>Three or more adults</t>
  </si>
  <si>
    <t>All of the time</t>
  </si>
  <si>
    <t>Most of the time</t>
  </si>
  <si>
    <t>Some of the time</t>
  </si>
  <si>
    <t>A little of the time</t>
  </si>
  <si>
    <t>None of the time</t>
  </si>
  <si>
    <t xml:space="preserve">mean </t>
  </si>
  <si>
    <t xml:space="preserve">Satisfaction with personal relationships </t>
  </si>
  <si>
    <t xml:space="preserve">First quantile </t>
  </si>
  <si>
    <t xml:space="preserve">Second quantile </t>
  </si>
  <si>
    <t xml:space="preserve">Third quantile </t>
  </si>
  <si>
    <t xml:space="preserve">Fourth quantile </t>
  </si>
  <si>
    <t xml:space="preserve">Fifth quantile </t>
  </si>
  <si>
    <r>
      <t>Source:</t>
    </r>
    <r>
      <rPr>
        <sz val="9"/>
        <color theme="1"/>
        <rFont val="Arial"/>
        <family val="2"/>
      </rPr>
      <t xml:space="preserve"> Eurostat (online data code: ilc_pw01)</t>
    </r>
  </si>
  <si>
    <t xml:space="preserve">Note: the data for 2018 is missing for Ireland, Slovakia and the United Kingdom </t>
  </si>
  <si>
    <r>
      <t>Source:</t>
    </r>
    <r>
      <rPr>
        <sz val="9"/>
        <color theme="1"/>
        <rFont val="Arial"/>
        <family val="2"/>
      </rPr>
      <t xml:space="preserve"> Eurostat (online data code: ilc_pw05)</t>
    </r>
  </si>
  <si>
    <t>Protocol order</t>
  </si>
  <si>
    <t xml:space="preserve">All of the time+Most of the time </t>
  </si>
  <si>
    <r>
      <t>Source:</t>
    </r>
    <r>
      <rPr>
        <sz val="9"/>
        <color theme="1"/>
        <rFont val="Arial"/>
        <family val="2"/>
      </rPr>
      <t xml:space="preserve"> Eurostat (online data code: ilc_pw08)</t>
    </r>
  </si>
  <si>
    <t>Flags</t>
  </si>
  <si>
    <t>u</t>
  </si>
  <si>
    <t>UK</t>
  </si>
  <si>
    <t>Belgium</t>
  </si>
  <si>
    <t>Bulgaria</t>
  </si>
  <si>
    <t xml:space="preserve">Czechia </t>
  </si>
  <si>
    <t>Denmark</t>
  </si>
  <si>
    <t>Germany</t>
  </si>
  <si>
    <t>Estonia</t>
  </si>
  <si>
    <t>Greece</t>
  </si>
  <si>
    <t xml:space="preserve">Spain 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</si>
  <si>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</si>
  <si>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</si>
  <si>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</si>
  <si>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</si>
  <si>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</si>
  <si>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</si>
  <si>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</si>
  <si>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</si>
  <si>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</si>
  <si>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</si>
  <si>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</si>
  <si>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</si>
  <si>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</si>
  <si>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</si>
  <si>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</si>
  <si>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 xml:space="preserve">Slovakia </t>
  </si>
  <si>
    <t>Finland</t>
  </si>
  <si>
    <t>Sweden</t>
  </si>
  <si>
    <t>United Kingdom</t>
  </si>
  <si>
    <t xml:space="preserve">Ireland </t>
  </si>
  <si>
    <t>Norway</t>
  </si>
  <si>
    <t xml:space="preserve">Switzerland </t>
  </si>
  <si>
    <t>Source: Eurostat (online data code: ilc_pw02)</t>
  </si>
  <si>
    <t>dependent children</t>
  </si>
  <si>
    <t xml:space="preserve">Household with </t>
  </si>
  <si>
    <t xml:space="preserve">Household without </t>
  </si>
  <si>
    <t>IE</t>
  </si>
  <si>
    <t xml:space="preserve">SK </t>
  </si>
  <si>
    <t>Low (0–5)</t>
  </si>
  <si>
    <t>Medium (6–8)</t>
  </si>
  <si>
    <t>High (9–10)</t>
  </si>
  <si>
    <t xml:space="preserve">Table 1: Overall life satisfaction, mean rating by country and income quantile, 2018 </t>
  </si>
  <si>
    <t xml:space="preserve">Table 2: Overall life satisfaction, mean rating by country and household type, 2018 </t>
  </si>
  <si>
    <t xml:space="preserve">A little of the time or none of the time </t>
  </si>
  <si>
    <t>Mean Value by household type</t>
  </si>
  <si>
    <t>Sorted by mean of 2018</t>
  </si>
  <si>
    <t xml:space="preserve">Sorted from low to high (none of the time) </t>
  </si>
  <si>
    <t>Sorted by value of 2018</t>
  </si>
  <si>
    <t>Less than primary, primary and lower secondary education (ISCED levels 0-2)</t>
  </si>
  <si>
    <t>Upper secondary and post-secondary non-tertiary education (ISCED levels 3 and 4)</t>
  </si>
  <si>
    <t>Tertiary education (ISCED levels 5-8)</t>
  </si>
  <si>
    <t>SK</t>
  </si>
  <si>
    <t>mean values protocol order</t>
  </si>
  <si>
    <t xml:space="preserve">sorted </t>
  </si>
  <si>
    <t>Job satisfaction by country protocol</t>
  </si>
  <si>
    <t xml:space="preserve">IE </t>
  </si>
  <si>
    <t xml:space="preserve">UK </t>
  </si>
  <si>
    <t xml:space="preserve">Portugal </t>
  </si>
  <si>
    <t>Czechia</t>
  </si>
  <si>
    <t xml:space="preserve">Norway </t>
  </si>
  <si>
    <t xml:space="preserve">Latvia </t>
  </si>
  <si>
    <t>Slovakia</t>
  </si>
  <si>
    <t xml:space="preserve">Italy </t>
  </si>
  <si>
    <t>Spain</t>
  </si>
  <si>
    <t>Switzerland</t>
  </si>
  <si>
    <t xml:space="preserve">Sweden </t>
  </si>
  <si>
    <t xml:space="preserve">Switzeland </t>
  </si>
  <si>
    <t xml:space="preserve">Luxembourg </t>
  </si>
  <si>
    <t xml:space="preserve">Romania </t>
  </si>
  <si>
    <t>"p" - provisional</t>
  </si>
  <si>
    <t>(p)</t>
  </si>
  <si>
    <t>Ireland (¹)</t>
  </si>
  <si>
    <t>(¹) Provisional</t>
  </si>
  <si>
    <t>United Kingdom (¹)</t>
  </si>
  <si>
    <t>UK (¹)</t>
  </si>
  <si>
    <t>IE (¹)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</si>
  <si>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Provisional</t>
    </r>
  </si>
  <si>
    <t>Source: Eurostat (online data code: ilc_pw01 and ilc_pw05)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</si>
  <si>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) Provisional
</t>
    </r>
  </si>
  <si>
    <t>Mean rating</t>
  </si>
  <si>
    <t>Low (0-5)</t>
  </si>
  <si>
    <t>Medium (6-8)</t>
  </si>
  <si>
    <t>High (9-10)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</si>
</sst>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 style="thin">
        <color theme="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theme="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/>
    <xf numFmtId="0" fontId="1" fillId="0" borderId="2" xfId="0" applyFont="1" applyBorder="1"/>
    <xf numFmtId="2" fontId="1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0" fontId="1" fillId="0" borderId="0" xfId="0" applyNumberFormat="1" applyFont="1"/>
    <xf numFmtId="10" fontId="2" fillId="0" borderId="0" xfId="0" applyNumberFormat="1" applyFont="1"/>
    <xf numFmtId="164" fontId="2" fillId="0" borderId="0" xfId="1" applyNumberFormat="1" applyFont="1"/>
    <xf numFmtId="0" fontId="1" fillId="4" borderId="0" xfId="0" applyFont="1" applyFill="1"/>
    <xf numFmtId="2" fontId="1" fillId="4" borderId="0" xfId="0" applyNumberFormat="1" applyFont="1" applyFill="1"/>
    <xf numFmtId="10" fontId="1" fillId="4" borderId="0" xfId="0" applyNumberFormat="1" applyFont="1" applyFill="1"/>
    <xf numFmtId="0" fontId="2" fillId="4" borderId="0" xfId="0" applyFont="1" applyFill="1"/>
    <xf numFmtId="10" fontId="2" fillId="0" borderId="0" xfId="0" applyNumberFormat="1" applyFont="1" applyFill="1"/>
    <xf numFmtId="0" fontId="1" fillId="5" borderId="3" xfId="0" applyFont="1" applyFill="1" applyBorder="1" applyAlignment="1">
      <alignment horizontal="center" vertical="center"/>
    </xf>
    <xf numFmtId="0" fontId="1" fillId="6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2" fillId="6" borderId="3" xfId="0" applyFont="1" applyFill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5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left" vertical="top"/>
    </xf>
    <xf numFmtId="164" fontId="5" fillId="0" borderId="9" xfId="0" applyNumberFormat="1" applyFont="1" applyBorder="1"/>
    <xf numFmtId="10" fontId="2" fillId="7" borderId="0" xfId="0" applyNumberFormat="1" applyFont="1" applyFill="1"/>
    <xf numFmtId="10" fontId="2" fillId="4" borderId="0" xfId="0" applyNumberFormat="1" applyFont="1" applyFill="1"/>
    <xf numFmtId="10" fontId="2" fillId="3" borderId="0" xfId="0" applyNumberFormat="1" applyFont="1" applyFill="1"/>
    <xf numFmtId="0" fontId="1" fillId="0" borderId="0" xfId="0" applyFont="1" applyAlignment="1">
      <alignment horizontal="left"/>
    </xf>
    <xf numFmtId="10" fontId="2" fillId="2" borderId="0" xfId="0" applyNumberFormat="1" applyFont="1" applyFill="1"/>
    <xf numFmtId="10" fontId="2" fillId="0" borderId="0" xfId="1" applyNumberFormat="1" applyFont="1"/>
    <xf numFmtId="0" fontId="1" fillId="6" borderId="0" xfId="0" applyFont="1" applyFill="1"/>
    <xf numFmtId="164" fontId="2" fillId="0" borderId="5" xfId="0" applyNumberFormat="1" applyFont="1" applyBorder="1" applyAlignment="1"/>
    <xf numFmtId="164" fontId="2" fillId="0" borderId="7" xfId="0" applyNumberFormat="1" applyFont="1" applyBorder="1" applyAlignment="1"/>
    <xf numFmtId="164" fontId="2" fillId="0" borderId="0" xfId="0" applyNumberFormat="1" applyFont="1" applyBorder="1" applyAlignment="1"/>
    <xf numFmtId="164" fontId="2" fillId="0" borderId="4" xfId="0" applyNumberFormat="1" applyFont="1" applyBorder="1" applyAlignment="1"/>
    <xf numFmtId="164" fontId="1" fillId="0" borderId="9" xfId="0" applyNumberFormat="1" applyFont="1" applyBorder="1"/>
    <xf numFmtId="0" fontId="2" fillId="0" borderId="0" xfId="0" applyFont="1" applyFill="1"/>
    <xf numFmtId="164" fontId="1" fillId="0" borderId="0" xfId="0" applyNumberFormat="1" applyFont="1" applyFill="1"/>
    <xf numFmtId="0" fontId="1" fillId="0" borderId="0" xfId="0" applyFont="1" applyFill="1"/>
    <xf numFmtId="0" fontId="1" fillId="0" borderId="1" xfId="0" applyFont="1" applyFill="1" applyBorder="1"/>
    <xf numFmtId="164" fontId="2" fillId="0" borderId="7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0" fontId="1" fillId="5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/>
    <xf numFmtId="164" fontId="2" fillId="0" borderId="11" xfId="0" applyNumberFormat="1" applyFont="1" applyBorder="1" applyAlignment="1"/>
    <xf numFmtId="0" fontId="2" fillId="0" borderId="11" xfId="0" applyFont="1" applyBorder="1" applyAlignment="1"/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/>
    <xf numFmtId="0" fontId="2" fillId="0" borderId="14" xfId="0" applyFont="1" applyBorder="1" applyAlignment="1"/>
    <xf numFmtId="164" fontId="2" fillId="0" borderId="15" xfId="0" applyNumberFormat="1" applyFont="1" applyBorder="1" applyAlignment="1"/>
    <xf numFmtId="0" fontId="2" fillId="0" borderId="5" xfId="0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" fillId="0" borderId="18" xfId="0" applyFont="1" applyBorder="1" applyAlignment="1"/>
    <xf numFmtId="164" fontId="2" fillId="0" borderId="19" xfId="0" applyNumberFormat="1" applyFont="1" applyBorder="1" applyAlignment="1"/>
    <xf numFmtId="0" fontId="2" fillId="0" borderId="19" xfId="0" applyFont="1" applyBorder="1" applyAlignment="1"/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/>
    <xf numFmtId="164" fontId="2" fillId="0" borderId="19" xfId="0" applyNumberFormat="1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10" fontId="2" fillId="0" borderId="9" xfId="0" applyNumberFormat="1" applyFont="1" applyBorder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vertical="top" wrapText="1"/>
    </xf>
    <xf numFmtId="11" fontId="1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country, 2018</a:t>
            </a:r>
          </a:p>
          <a:p>
            <a:pPr algn="l">
              <a:defRPr sz="1800" b="1"/>
            </a:pPr>
            <a:r>
              <a:rPr lang="en-US" sz="1600" b="0"/>
              <a:t>(left axis: % of population by satisfaction level; right axis: mean rating)</a:t>
            </a:r>
          </a:p>
        </c:rich>
      </c:tx>
      <c:layout>
        <c:manualLayout>
          <c:xMode val="edge"/>
          <c:yMode val="edge"/>
          <c:x val="9.295643044619422E-3"/>
          <c:y val="8.90405805847752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563105784023617E-2"/>
          <c:y val="0.13155786796923394"/>
          <c:w val="0.97087378843195282"/>
          <c:h val="0.70578639378564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 '!$J$6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 '!$I$7:$I$39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Lithuania</c:v>
                </c:pt>
                <c:pt idx="6">
                  <c:v>Hungary</c:v>
                </c:pt>
                <c:pt idx="7">
                  <c:v>Latvia</c:v>
                </c:pt>
                <c:pt idx="8">
                  <c:v>Portugal </c:v>
                </c:pt>
                <c:pt idx="9">
                  <c:v>Estonia</c:v>
                </c:pt>
                <c:pt idx="10">
                  <c:v>Italy</c:v>
                </c:pt>
                <c:pt idx="11">
                  <c:v>Cyprus</c:v>
                </c:pt>
                <c:pt idx="12">
                  <c:v>Slovakia </c:v>
                </c:pt>
                <c:pt idx="13">
                  <c:v>Spain </c:v>
                </c:pt>
                <c:pt idx="14">
                  <c:v>France</c:v>
                </c:pt>
                <c:pt idx="15">
                  <c:v>Romania</c:v>
                </c:pt>
                <c:pt idx="16">
                  <c:v>Slovenia</c:v>
                </c:pt>
                <c:pt idx="17">
                  <c:v>Czechia</c:v>
                </c:pt>
                <c:pt idx="18">
                  <c:v>Germany</c:v>
                </c:pt>
                <c:pt idx="19">
                  <c:v>Malta</c:v>
                </c:pt>
                <c:pt idx="20">
                  <c:v>Belgium</c:v>
                </c:pt>
                <c:pt idx="21">
                  <c:v>Luxembourg</c:v>
                </c:pt>
                <c:pt idx="22">
                  <c:v>United Kingdom (¹)</c:v>
                </c:pt>
                <c:pt idx="23">
                  <c:v>Netherlands</c:v>
                </c:pt>
                <c:pt idx="24">
                  <c:v>Denmark</c:v>
                </c:pt>
                <c:pt idx="25">
                  <c:v>Poland</c:v>
                </c:pt>
                <c:pt idx="26">
                  <c:v>Sweden</c:v>
                </c:pt>
                <c:pt idx="27">
                  <c:v>Austria</c:v>
                </c:pt>
                <c:pt idx="28">
                  <c:v>Ireland (¹)</c:v>
                </c:pt>
                <c:pt idx="29">
                  <c:v>Finland</c:v>
                </c:pt>
                <c:pt idx="31">
                  <c:v>Norway </c:v>
                </c:pt>
                <c:pt idx="32">
                  <c:v>Switzerland </c:v>
                </c:pt>
              </c:strCache>
            </c:strRef>
          </c:cat>
          <c:val>
            <c:numRef>
              <c:f>'Figure 1 '!$J$7:$J$39</c:f>
              <c:numCache>
                <c:formatCode>0.00%</c:formatCode>
                <c:ptCount val="33"/>
                <c:pt idx="0">
                  <c:v>0.16200000000000001</c:v>
                </c:pt>
                <c:pt idx="2">
                  <c:v>0.54</c:v>
                </c:pt>
                <c:pt idx="3">
                  <c:v>0.36799999999999999</c:v>
                </c:pt>
                <c:pt idx="4">
                  <c:v>0.26899999999999996</c:v>
                </c:pt>
                <c:pt idx="5">
                  <c:v>0.36200000000000004</c:v>
                </c:pt>
                <c:pt idx="6">
                  <c:v>0.30299999999999999</c:v>
                </c:pt>
                <c:pt idx="7">
                  <c:v>0.26400000000000001</c:v>
                </c:pt>
                <c:pt idx="8">
                  <c:v>0.30099999999999999</c:v>
                </c:pt>
                <c:pt idx="9">
                  <c:v>0.222</c:v>
                </c:pt>
                <c:pt idx="10">
                  <c:v>0.157</c:v>
                </c:pt>
                <c:pt idx="11">
                  <c:v>0.2</c:v>
                </c:pt>
                <c:pt idx="12">
                  <c:v>0.253</c:v>
                </c:pt>
                <c:pt idx="13">
                  <c:v>0.158</c:v>
                </c:pt>
                <c:pt idx="14">
                  <c:v>0.15</c:v>
                </c:pt>
                <c:pt idx="15">
                  <c:v>0.153</c:v>
                </c:pt>
                <c:pt idx="16">
                  <c:v>0.17699999999999999</c:v>
                </c:pt>
                <c:pt idx="17">
                  <c:v>0.18</c:v>
                </c:pt>
                <c:pt idx="18">
                  <c:v>0.17199999999999999</c:v>
                </c:pt>
                <c:pt idx="19">
                  <c:v>0.13800000000000001</c:v>
                </c:pt>
                <c:pt idx="20">
                  <c:v>8.5999999999999993E-2</c:v>
                </c:pt>
                <c:pt idx="21">
                  <c:v>0.12</c:v>
                </c:pt>
                <c:pt idx="22">
                  <c:v>0.13200000000000001</c:v>
                </c:pt>
                <c:pt idx="23">
                  <c:v>6.3E-2</c:v>
                </c:pt>
                <c:pt idx="24">
                  <c:v>0.14099999999999999</c:v>
                </c:pt>
                <c:pt idx="25">
                  <c:v>0.124</c:v>
                </c:pt>
                <c:pt idx="26">
                  <c:v>0.114</c:v>
                </c:pt>
                <c:pt idx="27">
                  <c:v>9.6000000000000002E-2</c:v>
                </c:pt>
                <c:pt idx="28">
                  <c:v>9.4E-2</c:v>
                </c:pt>
                <c:pt idx="29">
                  <c:v>5.2000000000000005E-2</c:v>
                </c:pt>
                <c:pt idx="31">
                  <c:v>0.10099999999999999</c:v>
                </c:pt>
                <c:pt idx="32">
                  <c:v>8.900000000000001E-2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1-44B4-89A6-E0E0AC54AC2F}"/>
            </c:ext>
          </c:extLst>
        </c:ser>
        <c:ser>
          <c:idx val="1"/>
          <c:order val="1"/>
          <c:tx>
            <c:strRef>
              <c:f>'Figure 1 '!$K$6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 '!$I$7:$I$39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Lithuania</c:v>
                </c:pt>
                <c:pt idx="6">
                  <c:v>Hungary</c:v>
                </c:pt>
                <c:pt idx="7">
                  <c:v>Latvia</c:v>
                </c:pt>
                <c:pt idx="8">
                  <c:v>Portugal </c:v>
                </c:pt>
                <c:pt idx="9">
                  <c:v>Estonia</c:v>
                </c:pt>
                <c:pt idx="10">
                  <c:v>Italy</c:v>
                </c:pt>
                <c:pt idx="11">
                  <c:v>Cyprus</c:v>
                </c:pt>
                <c:pt idx="12">
                  <c:v>Slovakia </c:v>
                </c:pt>
                <c:pt idx="13">
                  <c:v>Spain </c:v>
                </c:pt>
                <c:pt idx="14">
                  <c:v>France</c:v>
                </c:pt>
                <c:pt idx="15">
                  <c:v>Romania</c:v>
                </c:pt>
                <c:pt idx="16">
                  <c:v>Slovenia</c:v>
                </c:pt>
                <c:pt idx="17">
                  <c:v>Czechia</c:v>
                </c:pt>
                <c:pt idx="18">
                  <c:v>Germany</c:v>
                </c:pt>
                <c:pt idx="19">
                  <c:v>Malta</c:v>
                </c:pt>
                <c:pt idx="20">
                  <c:v>Belgium</c:v>
                </c:pt>
                <c:pt idx="21">
                  <c:v>Luxembourg</c:v>
                </c:pt>
                <c:pt idx="22">
                  <c:v>United Kingdom (¹)</c:v>
                </c:pt>
                <c:pt idx="23">
                  <c:v>Netherlands</c:v>
                </c:pt>
                <c:pt idx="24">
                  <c:v>Denmark</c:v>
                </c:pt>
                <c:pt idx="25">
                  <c:v>Poland</c:v>
                </c:pt>
                <c:pt idx="26">
                  <c:v>Sweden</c:v>
                </c:pt>
                <c:pt idx="27">
                  <c:v>Austria</c:v>
                </c:pt>
                <c:pt idx="28">
                  <c:v>Ireland (¹)</c:v>
                </c:pt>
                <c:pt idx="29">
                  <c:v>Finland</c:v>
                </c:pt>
                <c:pt idx="31">
                  <c:v>Norway </c:v>
                </c:pt>
                <c:pt idx="32">
                  <c:v>Switzerland </c:v>
                </c:pt>
              </c:strCache>
            </c:strRef>
          </c:cat>
          <c:val>
            <c:numRef>
              <c:f>'Figure 1 '!$K$7:$K$39</c:f>
              <c:numCache>
                <c:formatCode>0.00%</c:formatCode>
                <c:ptCount val="33"/>
                <c:pt idx="0">
                  <c:v>0.58399999999999996</c:v>
                </c:pt>
                <c:pt idx="2">
                  <c:v>0.36599999999999999</c:v>
                </c:pt>
                <c:pt idx="3">
                  <c:v>0.46700000000000003</c:v>
                </c:pt>
                <c:pt idx="4">
                  <c:v>0.59599999999999997</c:v>
                </c:pt>
                <c:pt idx="5">
                  <c:v>0.46200000000000002</c:v>
                </c:pt>
                <c:pt idx="6">
                  <c:v>0.56600000000000006</c:v>
                </c:pt>
                <c:pt idx="7">
                  <c:v>0.58299999999999996</c:v>
                </c:pt>
                <c:pt idx="8">
                  <c:v>0.51300000000000001</c:v>
                </c:pt>
                <c:pt idx="9">
                  <c:v>0.58399999999999996</c:v>
                </c:pt>
                <c:pt idx="10">
                  <c:v>0.66299999999999992</c:v>
                </c:pt>
                <c:pt idx="11">
                  <c:v>0.57700000000000007</c:v>
                </c:pt>
                <c:pt idx="12">
                  <c:v>0.47200000000000003</c:v>
                </c:pt>
                <c:pt idx="13">
                  <c:v>0.59799999999999998</c:v>
                </c:pt>
                <c:pt idx="14">
                  <c:v>0.66700000000000004</c:v>
                </c:pt>
                <c:pt idx="15">
                  <c:v>0.60099999999999998</c:v>
                </c:pt>
                <c:pt idx="16">
                  <c:v>0.57700000000000007</c:v>
                </c:pt>
                <c:pt idx="17">
                  <c:v>0.52400000000000002</c:v>
                </c:pt>
                <c:pt idx="18">
                  <c:v>0.54500000000000004</c:v>
                </c:pt>
                <c:pt idx="19">
                  <c:v>0.59499999999999997</c:v>
                </c:pt>
                <c:pt idx="20">
                  <c:v>0.70200000000000007</c:v>
                </c:pt>
                <c:pt idx="21">
                  <c:v>0.61699999999999999</c:v>
                </c:pt>
                <c:pt idx="22">
                  <c:v>0.55100000000000005</c:v>
                </c:pt>
                <c:pt idx="23">
                  <c:v>0.69700000000000006</c:v>
                </c:pt>
                <c:pt idx="24">
                  <c:v>0.44600000000000001</c:v>
                </c:pt>
                <c:pt idx="25">
                  <c:v>0.51700000000000002</c:v>
                </c:pt>
                <c:pt idx="26">
                  <c:v>0.53600000000000003</c:v>
                </c:pt>
                <c:pt idx="27">
                  <c:v>0.50700000000000001</c:v>
                </c:pt>
                <c:pt idx="28">
                  <c:v>0.47399999999999998</c:v>
                </c:pt>
                <c:pt idx="29">
                  <c:v>0.53799999999999992</c:v>
                </c:pt>
                <c:pt idx="31">
                  <c:v>0.502</c:v>
                </c:pt>
                <c:pt idx="32">
                  <c:v>0.53100000000000003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1-44B4-89A6-E0E0AC54AC2F}"/>
            </c:ext>
          </c:extLst>
        </c:ser>
        <c:ser>
          <c:idx val="2"/>
          <c:order val="2"/>
          <c:tx>
            <c:strRef>
              <c:f>'Figure 1 '!$L$6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 '!$I$7:$I$39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Lithuania</c:v>
                </c:pt>
                <c:pt idx="6">
                  <c:v>Hungary</c:v>
                </c:pt>
                <c:pt idx="7">
                  <c:v>Latvia</c:v>
                </c:pt>
                <c:pt idx="8">
                  <c:v>Portugal </c:v>
                </c:pt>
                <c:pt idx="9">
                  <c:v>Estonia</c:v>
                </c:pt>
                <c:pt idx="10">
                  <c:v>Italy</c:v>
                </c:pt>
                <c:pt idx="11">
                  <c:v>Cyprus</c:v>
                </c:pt>
                <c:pt idx="12">
                  <c:v>Slovakia </c:v>
                </c:pt>
                <c:pt idx="13">
                  <c:v>Spain </c:v>
                </c:pt>
                <c:pt idx="14">
                  <c:v>France</c:v>
                </c:pt>
                <c:pt idx="15">
                  <c:v>Romania</c:v>
                </c:pt>
                <c:pt idx="16">
                  <c:v>Slovenia</c:v>
                </c:pt>
                <c:pt idx="17">
                  <c:v>Czechia</c:v>
                </c:pt>
                <c:pt idx="18">
                  <c:v>Germany</c:v>
                </c:pt>
                <c:pt idx="19">
                  <c:v>Malta</c:v>
                </c:pt>
                <c:pt idx="20">
                  <c:v>Belgium</c:v>
                </c:pt>
                <c:pt idx="21">
                  <c:v>Luxembourg</c:v>
                </c:pt>
                <c:pt idx="22">
                  <c:v>United Kingdom (¹)</c:v>
                </c:pt>
                <c:pt idx="23">
                  <c:v>Netherlands</c:v>
                </c:pt>
                <c:pt idx="24">
                  <c:v>Denmark</c:v>
                </c:pt>
                <c:pt idx="25">
                  <c:v>Poland</c:v>
                </c:pt>
                <c:pt idx="26">
                  <c:v>Sweden</c:v>
                </c:pt>
                <c:pt idx="27">
                  <c:v>Austria</c:v>
                </c:pt>
                <c:pt idx="28">
                  <c:v>Ireland (¹)</c:v>
                </c:pt>
                <c:pt idx="29">
                  <c:v>Finland</c:v>
                </c:pt>
                <c:pt idx="31">
                  <c:v>Norway </c:v>
                </c:pt>
                <c:pt idx="32">
                  <c:v>Switzerland </c:v>
                </c:pt>
              </c:strCache>
            </c:strRef>
          </c:cat>
          <c:val>
            <c:numRef>
              <c:f>'Figure 1 '!$L$7:$L$39</c:f>
              <c:numCache>
                <c:formatCode>0.00%</c:formatCode>
                <c:ptCount val="33"/>
                <c:pt idx="0">
                  <c:v>0.254</c:v>
                </c:pt>
                <c:pt idx="2">
                  <c:v>9.5000000000000001E-2</c:v>
                </c:pt>
                <c:pt idx="3">
                  <c:v>0.16500000000000001</c:v>
                </c:pt>
                <c:pt idx="4">
                  <c:v>0.13500000000000001</c:v>
                </c:pt>
                <c:pt idx="5">
                  <c:v>0.17600000000000002</c:v>
                </c:pt>
                <c:pt idx="6">
                  <c:v>0.13100000000000001</c:v>
                </c:pt>
                <c:pt idx="7">
                  <c:v>0.153</c:v>
                </c:pt>
                <c:pt idx="8">
                  <c:v>0.18600000000000003</c:v>
                </c:pt>
                <c:pt idx="9">
                  <c:v>0.19399999999999998</c:v>
                </c:pt>
                <c:pt idx="10">
                  <c:v>0.18</c:v>
                </c:pt>
                <c:pt idx="11">
                  <c:v>0.22399999999999998</c:v>
                </c:pt>
                <c:pt idx="12">
                  <c:v>0.27500000000000002</c:v>
                </c:pt>
                <c:pt idx="13">
                  <c:v>0.24399999999999999</c:v>
                </c:pt>
                <c:pt idx="14">
                  <c:v>0.183</c:v>
                </c:pt>
                <c:pt idx="15">
                  <c:v>0.247</c:v>
                </c:pt>
                <c:pt idx="16">
                  <c:v>0.24600000000000002</c:v>
                </c:pt>
                <c:pt idx="17">
                  <c:v>0.29499999999999998</c:v>
                </c:pt>
                <c:pt idx="18">
                  <c:v>0.28300000000000003</c:v>
                </c:pt>
                <c:pt idx="19">
                  <c:v>0.26600000000000001</c:v>
                </c:pt>
                <c:pt idx="20">
                  <c:v>0.21199999999999999</c:v>
                </c:pt>
                <c:pt idx="21">
                  <c:v>0.26300000000000001</c:v>
                </c:pt>
                <c:pt idx="22">
                  <c:v>0.317</c:v>
                </c:pt>
                <c:pt idx="23">
                  <c:v>0.23899999999999999</c:v>
                </c:pt>
                <c:pt idx="24">
                  <c:v>0.41299999999999998</c:v>
                </c:pt>
                <c:pt idx="25">
                  <c:v>0.35899999999999999</c:v>
                </c:pt>
                <c:pt idx="26">
                  <c:v>0.35</c:v>
                </c:pt>
                <c:pt idx="27">
                  <c:v>0.39700000000000002</c:v>
                </c:pt>
                <c:pt idx="28">
                  <c:v>0.43200000000000005</c:v>
                </c:pt>
                <c:pt idx="29">
                  <c:v>0.41100000000000003</c:v>
                </c:pt>
                <c:pt idx="31">
                  <c:v>0.39700000000000002</c:v>
                </c:pt>
                <c:pt idx="3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1-44B4-89A6-E0E0AC54A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99116320"/>
        <c:axId val="699123536"/>
      </c:barChart>
      <c:lineChart>
        <c:grouping val="standard"/>
        <c:varyColors val="0"/>
        <c:ser>
          <c:idx val="3"/>
          <c:order val="3"/>
          <c:tx>
            <c:strRef>
              <c:f>'Figure 1 '!$M$6</c:f>
              <c:strCache>
                <c:ptCount val="1"/>
                <c:pt idx="0">
                  <c:v>Mean rating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 '!$I$7:$I$39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Lithuania</c:v>
                </c:pt>
                <c:pt idx="6">
                  <c:v>Hungary</c:v>
                </c:pt>
                <c:pt idx="7">
                  <c:v>Latvia</c:v>
                </c:pt>
                <c:pt idx="8">
                  <c:v>Portugal </c:v>
                </c:pt>
                <c:pt idx="9">
                  <c:v>Estonia</c:v>
                </c:pt>
                <c:pt idx="10">
                  <c:v>Italy</c:v>
                </c:pt>
                <c:pt idx="11">
                  <c:v>Cyprus</c:v>
                </c:pt>
                <c:pt idx="12">
                  <c:v>Slovakia </c:v>
                </c:pt>
                <c:pt idx="13">
                  <c:v>Spain </c:v>
                </c:pt>
                <c:pt idx="14">
                  <c:v>France</c:v>
                </c:pt>
                <c:pt idx="15">
                  <c:v>Romania</c:v>
                </c:pt>
                <c:pt idx="16">
                  <c:v>Slovenia</c:v>
                </c:pt>
                <c:pt idx="17">
                  <c:v>Czechia</c:v>
                </c:pt>
                <c:pt idx="18">
                  <c:v>Germany</c:v>
                </c:pt>
                <c:pt idx="19">
                  <c:v>Malta</c:v>
                </c:pt>
                <c:pt idx="20">
                  <c:v>Belgium</c:v>
                </c:pt>
                <c:pt idx="21">
                  <c:v>Luxembourg</c:v>
                </c:pt>
                <c:pt idx="22">
                  <c:v>United Kingdom (¹)</c:v>
                </c:pt>
                <c:pt idx="23">
                  <c:v>Netherlands</c:v>
                </c:pt>
                <c:pt idx="24">
                  <c:v>Denmark</c:v>
                </c:pt>
                <c:pt idx="25">
                  <c:v>Poland</c:v>
                </c:pt>
                <c:pt idx="26">
                  <c:v>Sweden</c:v>
                </c:pt>
                <c:pt idx="27">
                  <c:v>Austria</c:v>
                </c:pt>
                <c:pt idx="28">
                  <c:v>Ireland (¹)</c:v>
                </c:pt>
                <c:pt idx="29">
                  <c:v>Finland</c:v>
                </c:pt>
                <c:pt idx="31">
                  <c:v>Norway </c:v>
                </c:pt>
                <c:pt idx="32">
                  <c:v>Switzerland </c:v>
                </c:pt>
              </c:strCache>
            </c:strRef>
          </c:cat>
          <c:val>
            <c:numRef>
              <c:f>'Figure 1 '!$M$7:$M$39</c:f>
              <c:numCache>
                <c:formatCode>0.0</c:formatCode>
                <c:ptCount val="33"/>
                <c:pt idx="0">
                  <c:v>7.3</c:v>
                </c:pt>
                <c:pt idx="2">
                  <c:v>5.4</c:v>
                </c:pt>
                <c:pt idx="3">
                  <c:v>6.3</c:v>
                </c:pt>
                <c:pt idx="4">
                  <c:v>6.4</c:v>
                </c:pt>
                <c:pt idx="5">
                  <c:v>6.4</c:v>
                </c:pt>
                <c:pt idx="6">
                  <c:v>6.5</c:v>
                </c:pt>
                <c:pt idx="7">
                  <c:v>6.7</c:v>
                </c:pt>
                <c:pt idx="8">
                  <c:v>6.7</c:v>
                </c:pt>
                <c:pt idx="9">
                  <c:v>7</c:v>
                </c:pt>
                <c:pt idx="10">
                  <c:v>7.1</c:v>
                </c:pt>
                <c:pt idx="11">
                  <c:v>7.1</c:v>
                </c:pt>
                <c:pt idx="12" formatCode="General">
                  <c:v>7.1</c:v>
                </c:pt>
                <c:pt idx="13">
                  <c:v>7.3</c:v>
                </c:pt>
                <c:pt idx="14">
                  <c:v>7.3</c:v>
                </c:pt>
                <c:pt idx="15">
                  <c:v>7.3</c:v>
                </c:pt>
                <c:pt idx="16" formatCode="General">
                  <c:v>7.3</c:v>
                </c:pt>
                <c:pt idx="17">
                  <c:v>7.4</c:v>
                </c:pt>
                <c:pt idx="18">
                  <c:v>7.4</c:v>
                </c:pt>
                <c:pt idx="19">
                  <c:v>7.5</c:v>
                </c:pt>
                <c:pt idx="20">
                  <c:v>7.6</c:v>
                </c:pt>
                <c:pt idx="21">
                  <c:v>7.6</c:v>
                </c:pt>
                <c:pt idx="22" formatCode="General">
                  <c:v>7.6</c:v>
                </c:pt>
                <c:pt idx="23">
                  <c:v>7.7</c:v>
                </c:pt>
                <c:pt idx="24">
                  <c:v>7.8</c:v>
                </c:pt>
                <c:pt idx="25" formatCode="General">
                  <c:v>7.8</c:v>
                </c:pt>
                <c:pt idx="26">
                  <c:v>7.8</c:v>
                </c:pt>
                <c:pt idx="27">
                  <c:v>8</c:v>
                </c:pt>
                <c:pt idx="28" formatCode="General">
                  <c:v>8.1</c:v>
                </c:pt>
                <c:pt idx="29">
                  <c:v>8.1</c:v>
                </c:pt>
                <c:pt idx="31">
                  <c:v>8</c:v>
                </c:pt>
                <c:pt idx="3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51-44B4-89A6-E0E0AC54A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04160"/>
        <c:axId val="483205800"/>
      </c:lineChart>
      <c:catAx>
        <c:axId val="6991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9123536"/>
        <c:crosses val="autoZero"/>
        <c:auto val="1"/>
        <c:lblAlgn val="ctr"/>
        <c:lblOffset val="100"/>
        <c:tickMarkSkip val="1"/>
        <c:noMultiLvlLbl val="0"/>
      </c:catAx>
      <c:valAx>
        <c:axId val="69912353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9116320"/>
        <c:crosses val="autoZero"/>
        <c:crossBetween val="between"/>
      </c:valAx>
      <c:valAx>
        <c:axId val="483205800"/>
        <c:scaling>
          <c:orientation val="minMax"/>
          <c:max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204160"/>
        <c:crosses val="max"/>
        <c:crossBetween val="between"/>
      </c:valAx>
      <c:catAx>
        <c:axId val="48320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205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28881889763779"/>
          <c:y val="0.8090972007004702"/>
          <c:w val="0.30960829396325457"/>
          <c:h val="3.27730106711818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Overall life satisfaction mean rating by country, 2013 and 2018</a:t>
            </a:r>
          </a:p>
          <a:p>
            <a:pPr algn="l">
              <a:defRPr sz="1800" b="1"/>
            </a:pPr>
            <a:r>
              <a:rPr lang="en-US" sz="1600" b="0"/>
              <a:t> </a:t>
            </a:r>
          </a:p>
        </c:rich>
      </c:tx>
      <c:layout>
        <c:manualLayout>
          <c:xMode val="edge"/>
          <c:yMode val="edge"/>
          <c:x val="5.3333333333333332E-3"/>
          <c:y val="8.84206231704502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064147073434024"/>
          <c:w val="0.97066666666666668"/>
          <c:h val="0.7032852786972787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2'!$F$4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2'!$E$5:$E$37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Lithuania</c:v>
                </c:pt>
                <c:pt idx="6">
                  <c:v>Hungary</c:v>
                </c:pt>
                <c:pt idx="7">
                  <c:v>Latvia </c:v>
                </c:pt>
                <c:pt idx="8">
                  <c:v>Portugal</c:v>
                </c:pt>
                <c:pt idx="9">
                  <c:v>Estonia</c:v>
                </c:pt>
                <c:pt idx="10">
                  <c:v>Slovakia</c:v>
                </c:pt>
                <c:pt idx="11">
                  <c:v>Italy </c:v>
                </c:pt>
                <c:pt idx="12">
                  <c:v>Cyprus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Romania</c:v>
                </c:pt>
                <c:pt idx="17">
                  <c:v>Czechia</c:v>
                </c:pt>
                <c:pt idx="18">
                  <c:v>Germany</c:v>
                </c:pt>
                <c:pt idx="19">
                  <c:v>Malta</c:v>
                </c:pt>
                <c:pt idx="20">
                  <c:v>United Kingdom (¹)</c:v>
                </c:pt>
                <c:pt idx="21">
                  <c:v>Belgium</c:v>
                </c:pt>
                <c:pt idx="22">
                  <c:v>Luxembourg</c:v>
                </c:pt>
                <c:pt idx="23">
                  <c:v>Netherlands</c:v>
                </c:pt>
                <c:pt idx="24">
                  <c:v>Denmark</c:v>
                </c:pt>
                <c:pt idx="25">
                  <c:v>Sweden</c:v>
                </c:pt>
                <c:pt idx="26">
                  <c:v>Poland</c:v>
                </c:pt>
                <c:pt idx="27">
                  <c:v>Austria</c:v>
                </c:pt>
                <c:pt idx="28">
                  <c:v>Ireland (¹)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2'!$F$5:$F$37</c:f>
              <c:numCache>
                <c:formatCode>General</c:formatCode>
                <c:ptCount val="33"/>
                <c:pt idx="0">
                  <c:v>7</c:v>
                </c:pt>
                <c:pt idx="2">
                  <c:v>4.8</c:v>
                </c:pt>
                <c:pt idx="3">
                  <c:v>6.3</c:v>
                </c:pt>
                <c:pt idx="4">
                  <c:v>6.2</c:v>
                </c:pt>
                <c:pt idx="5">
                  <c:v>6.7</c:v>
                </c:pt>
                <c:pt idx="6">
                  <c:v>6.1</c:v>
                </c:pt>
                <c:pt idx="7">
                  <c:v>6.5</c:v>
                </c:pt>
                <c:pt idx="8">
                  <c:v>6.2</c:v>
                </c:pt>
                <c:pt idx="9">
                  <c:v>6.5</c:v>
                </c:pt>
                <c:pt idx="10">
                  <c:v>7</c:v>
                </c:pt>
                <c:pt idx="11">
                  <c:v>6.7</c:v>
                </c:pt>
                <c:pt idx="12">
                  <c:v>6.2</c:v>
                </c:pt>
                <c:pt idx="13">
                  <c:v>6.9</c:v>
                </c:pt>
                <c:pt idx="14">
                  <c:v>7.1</c:v>
                </c:pt>
                <c:pt idx="15">
                  <c:v>7</c:v>
                </c:pt>
                <c:pt idx="16">
                  <c:v>7.1</c:v>
                </c:pt>
                <c:pt idx="17">
                  <c:v>6.9</c:v>
                </c:pt>
                <c:pt idx="18">
                  <c:v>7.3</c:v>
                </c:pt>
                <c:pt idx="19">
                  <c:v>7.1</c:v>
                </c:pt>
                <c:pt idx="20">
                  <c:v>7.3</c:v>
                </c:pt>
                <c:pt idx="21">
                  <c:v>7.6</c:v>
                </c:pt>
                <c:pt idx="22">
                  <c:v>7.5</c:v>
                </c:pt>
                <c:pt idx="23">
                  <c:v>7.8</c:v>
                </c:pt>
                <c:pt idx="24">
                  <c:v>8</c:v>
                </c:pt>
                <c:pt idx="25">
                  <c:v>7.9</c:v>
                </c:pt>
                <c:pt idx="26">
                  <c:v>7.3</c:v>
                </c:pt>
                <c:pt idx="27">
                  <c:v>7.8</c:v>
                </c:pt>
                <c:pt idx="28">
                  <c:v>7.4</c:v>
                </c:pt>
                <c:pt idx="29">
                  <c:v>8</c:v>
                </c:pt>
                <c:pt idx="31">
                  <c:v>7.9</c:v>
                </c:pt>
                <c:pt idx="3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6-42BA-AE26-C9A7DCEC5CFA}"/>
            </c:ext>
          </c:extLst>
        </c:ser>
        <c:ser>
          <c:idx val="3"/>
          <c:order val="3"/>
          <c:tx>
            <c:strRef>
              <c:f>'Figure 2'!$G$4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2'!$E$5:$E$37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Lithuania</c:v>
                </c:pt>
                <c:pt idx="6">
                  <c:v>Hungary</c:v>
                </c:pt>
                <c:pt idx="7">
                  <c:v>Latvia </c:v>
                </c:pt>
                <c:pt idx="8">
                  <c:v>Portugal</c:v>
                </c:pt>
                <c:pt idx="9">
                  <c:v>Estonia</c:v>
                </c:pt>
                <c:pt idx="10">
                  <c:v>Slovakia</c:v>
                </c:pt>
                <c:pt idx="11">
                  <c:v>Italy </c:v>
                </c:pt>
                <c:pt idx="12">
                  <c:v>Cyprus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Romania</c:v>
                </c:pt>
                <c:pt idx="17">
                  <c:v>Czechia</c:v>
                </c:pt>
                <c:pt idx="18">
                  <c:v>Germany</c:v>
                </c:pt>
                <c:pt idx="19">
                  <c:v>Malta</c:v>
                </c:pt>
                <c:pt idx="20">
                  <c:v>United Kingdom (¹)</c:v>
                </c:pt>
                <c:pt idx="21">
                  <c:v>Belgium</c:v>
                </c:pt>
                <c:pt idx="22">
                  <c:v>Luxembourg</c:v>
                </c:pt>
                <c:pt idx="23">
                  <c:v>Netherlands</c:v>
                </c:pt>
                <c:pt idx="24">
                  <c:v>Denmark</c:v>
                </c:pt>
                <c:pt idx="25">
                  <c:v>Sweden</c:v>
                </c:pt>
                <c:pt idx="26">
                  <c:v>Poland</c:v>
                </c:pt>
                <c:pt idx="27">
                  <c:v>Austria</c:v>
                </c:pt>
                <c:pt idx="28">
                  <c:v>Ireland (¹)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2'!$G$5:$G$37</c:f>
              <c:numCache>
                <c:formatCode>General</c:formatCode>
                <c:ptCount val="33"/>
                <c:pt idx="0">
                  <c:v>7.3</c:v>
                </c:pt>
                <c:pt idx="2">
                  <c:v>5.4</c:v>
                </c:pt>
                <c:pt idx="3">
                  <c:v>6.3</c:v>
                </c:pt>
                <c:pt idx="4">
                  <c:v>6.4</c:v>
                </c:pt>
                <c:pt idx="5">
                  <c:v>6.4</c:v>
                </c:pt>
                <c:pt idx="6">
                  <c:v>6.5</c:v>
                </c:pt>
                <c:pt idx="7">
                  <c:v>6.7</c:v>
                </c:pt>
                <c:pt idx="8">
                  <c:v>6.7</c:v>
                </c:pt>
                <c:pt idx="9">
                  <c:v>7</c:v>
                </c:pt>
                <c:pt idx="10">
                  <c:v>7.1</c:v>
                </c:pt>
                <c:pt idx="11">
                  <c:v>7.1</c:v>
                </c:pt>
                <c:pt idx="12">
                  <c:v>7.1</c:v>
                </c:pt>
                <c:pt idx="13">
                  <c:v>7.3</c:v>
                </c:pt>
                <c:pt idx="14">
                  <c:v>7.3</c:v>
                </c:pt>
                <c:pt idx="15">
                  <c:v>7.3</c:v>
                </c:pt>
                <c:pt idx="16">
                  <c:v>7.3</c:v>
                </c:pt>
                <c:pt idx="17">
                  <c:v>7.4</c:v>
                </c:pt>
                <c:pt idx="18">
                  <c:v>7.4</c:v>
                </c:pt>
                <c:pt idx="19">
                  <c:v>7.5</c:v>
                </c:pt>
                <c:pt idx="20">
                  <c:v>7.6</c:v>
                </c:pt>
                <c:pt idx="21">
                  <c:v>7.6</c:v>
                </c:pt>
                <c:pt idx="22">
                  <c:v>7.6</c:v>
                </c:pt>
                <c:pt idx="23">
                  <c:v>7.7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8</c:v>
                </c:pt>
                <c:pt idx="28">
                  <c:v>8.1</c:v>
                </c:pt>
                <c:pt idx="29">
                  <c:v>8.1</c:v>
                </c:pt>
                <c:pt idx="31">
                  <c:v>8</c:v>
                </c:pt>
                <c:pt idx="3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C6-42BA-AE26-C9A7DCEC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579096"/>
        <c:axId val="495580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2'!$C$4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2'!$E$5:$E$37</c15:sqref>
                        </c15:formulaRef>
                      </c:ext>
                    </c:extLst>
                    <c:strCache>
                      <c:ptCount val="33"/>
                      <c:pt idx="0">
                        <c:v>EU-28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Greece</c:v>
                      </c:pt>
                      <c:pt idx="5">
                        <c:v>Lithuania</c:v>
                      </c:pt>
                      <c:pt idx="6">
                        <c:v>Hungary</c:v>
                      </c:pt>
                      <c:pt idx="7">
                        <c:v>Latvia </c:v>
                      </c:pt>
                      <c:pt idx="8">
                        <c:v>Portugal</c:v>
                      </c:pt>
                      <c:pt idx="9">
                        <c:v>Estonia</c:v>
                      </c:pt>
                      <c:pt idx="10">
                        <c:v>Slovakia</c:v>
                      </c:pt>
                      <c:pt idx="11">
                        <c:v>Italy </c:v>
                      </c:pt>
                      <c:pt idx="12">
                        <c:v>Cyprus</c:v>
                      </c:pt>
                      <c:pt idx="13">
                        <c:v>Spain</c:v>
                      </c:pt>
                      <c:pt idx="14">
                        <c:v>France</c:v>
                      </c:pt>
                      <c:pt idx="15">
                        <c:v>Slovenia</c:v>
                      </c:pt>
                      <c:pt idx="16">
                        <c:v>Romania</c:v>
                      </c:pt>
                      <c:pt idx="17">
                        <c:v>Czechia</c:v>
                      </c:pt>
                      <c:pt idx="18">
                        <c:v>Germany</c:v>
                      </c:pt>
                      <c:pt idx="19">
                        <c:v>Malta</c:v>
                      </c:pt>
                      <c:pt idx="20">
                        <c:v>United Kingdom (¹)</c:v>
                      </c:pt>
                      <c:pt idx="21">
                        <c:v>Belgium</c:v>
                      </c:pt>
                      <c:pt idx="22">
                        <c:v>Luxembourg</c:v>
                      </c:pt>
                      <c:pt idx="23">
                        <c:v>Netherlands</c:v>
                      </c:pt>
                      <c:pt idx="24">
                        <c:v>Denmark</c:v>
                      </c:pt>
                      <c:pt idx="25">
                        <c:v>Sweden</c:v>
                      </c:pt>
                      <c:pt idx="26">
                        <c:v>Poland</c:v>
                      </c:pt>
                      <c:pt idx="27">
                        <c:v>Austria</c:v>
                      </c:pt>
                      <c:pt idx="28">
                        <c:v>Ireland (¹)</c:v>
                      </c:pt>
                      <c:pt idx="29">
                        <c:v>Finland</c:v>
                      </c:pt>
                      <c:pt idx="31">
                        <c:v>Norway</c:v>
                      </c:pt>
                      <c:pt idx="32">
                        <c:v>Switzerland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2'!$C$5:$C$34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7.3</c:v>
                      </c:pt>
                      <c:pt idx="2">
                        <c:v>7.6</c:v>
                      </c:pt>
                      <c:pt idx="3">
                        <c:v>5.4</c:v>
                      </c:pt>
                      <c:pt idx="4">
                        <c:v>7.4</c:v>
                      </c:pt>
                      <c:pt idx="5">
                        <c:v>7.8</c:v>
                      </c:pt>
                      <c:pt idx="6">
                        <c:v>7.4</c:v>
                      </c:pt>
                      <c:pt idx="7">
                        <c:v>7</c:v>
                      </c:pt>
                      <c:pt idx="8">
                        <c:v>8.1</c:v>
                      </c:pt>
                      <c:pt idx="9">
                        <c:v>6.4</c:v>
                      </c:pt>
                      <c:pt idx="10">
                        <c:v>7.3</c:v>
                      </c:pt>
                      <c:pt idx="11">
                        <c:v>7.3</c:v>
                      </c:pt>
                      <c:pt idx="12">
                        <c:v>6.3</c:v>
                      </c:pt>
                      <c:pt idx="13">
                        <c:v>7.1</c:v>
                      </c:pt>
                      <c:pt idx="14">
                        <c:v>7.1</c:v>
                      </c:pt>
                      <c:pt idx="15">
                        <c:v>6.7</c:v>
                      </c:pt>
                      <c:pt idx="16">
                        <c:v>6.4</c:v>
                      </c:pt>
                      <c:pt idx="17">
                        <c:v>7.6</c:v>
                      </c:pt>
                      <c:pt idx="18">
                        <c:v>6.5</c:v>
                      </c:pt>
                      <c:pt idx="19">
                        <c:v>7.5</c:v>
                      </c:pt>
                      <c:pt idx="20">
                        <c:v>7.7</c:v>
                      </c:pt>
                      <c:pt idx="21">
                        <c:v>8</c:v>
                      </c:pt>
                      <c:pt idx="22">
                        <c:v>7.8</c:v>
                      </c:pt>
                      <c:pt idx="23">
                        <c:v>6.7</c:v>
                      </c:pt>
                      <c:pt idx="24">
                        <c:v>7.3</c:v>
                      </c:pt>
                      <c:pt idx="25">
                        <c:v>7.3</c:v>
                      </c:pt>
                      <c:pt idx="26">
                        <c:v>7.1</c:v>
                      </c:pt>
                      <c:pt idx="27">
                        <c:v>8.1</c:v>
                      </c:pt>
                      <c:pt idx="28">
                        <c:v>7.8</c:v>
                      </c:pt>
                      <c:pt idx="29">
                        <c:v>7.6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8C6-42BA-AE26-C9A7DCEC5CF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2'!$D$4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2'!$E$5:$E$37</c15:sqref>
                        </c15:formulaRef>
                      </c:ext>
                    </c:extLst>
                    <c:strCache>
                      <c:ptCount val="33"/>
                      <c:pt idx="0">
                        <c:v>EU-28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Greece</c:v>
                      </c:pt>
                      <c:pt idx="5">
                        <c:v>Lithuania</c:v>
                      </c:pt>
                      <c:pt idx="6">
                        <c:v>Hungary</c:v>
                      </c:pt>
                      <c:pt idx="7">
                        <c:v>Latvia </c:v>
                      </c:pt>
                      <c:pt idx="8">
                        <c:v>Portugal</c:v>
                      </c:pt>
                      <c:pt idx="9">
                        <c:v>Estonia</c:v>
                      </c:pt>
                      <c:pt idx="10">
                        <c:v>Slovakia</c:v>
                      </c:pt>
                      <c:pt idx="11">
                        <c:v>Italy </c:v>
                      </c:pt>
                      <c:pt idx="12">
                        <c:v>Cyprus</c:v>
                      </c:pt>
                      <c:pt idx="13">
                        <c:v>Spain</c:v>
                      </c:pt>
                      <c:pt idx="14">
                        <c:v>France</c:v>
                      </c:pt>
                      <c:pt idx="15">
                        <c:v>Slovenia</c:v>
                      </c:pt>
                      <c:pt idx="16">
                        <c:v>Romania</c:v>
                      </c:pt>
                      <c:pt idx="17">
                        <c:v>Czechia</c:v>
                      </c:pt>
                      <c:pt idx="18">
                        <c:v>Germany</c:v>
                      </c:pt>
                      <c:pt idx="19">
                        <c:v>Malta</c:v>
                      </c:pt>
                      <c:pt idx="20">
                        <c:v>United Kingdom (¹)</c:v>
                      </c:pt>
                      <c:pt idx="21">
                        <c:v>Belgium</c:v>
                      </c:pt>
                      <c:pt idx="22">
                        <c:v>Luxembourg</c:v>
                      </c:pt>
                      <c:pt idx="23">
                        <c:v>Netherlands</c:v>
                      </c:pt>
                      <c:pt idx="24">
                        <c:v>Denmark</c:v>
                      </c:pt>
                      <c:pt idx="25">
                        <c:v>Sweden</c:v>
                      </c:pt>
                      <c:pt idx="26">
                        <c:v>Poland</c:v>
                      </c:pt>
                      <c:pt idx="27">
                        <c:v>Austria</c:v>
                      </c:pt>
                      <c:pt idx="28">
                        <c:v>Ireland (¹)</c:v>
                      </c:pt>
                      <c:pt idx="29">
                        <c:v>Finland</c:v>
                      </c:pt>
                      <c:pt idx="31">
                        <c:v>Norway</c:v>
                      </c:pt>
                      <c:pt idx="32">
                        <c:v>Switzerland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2'!$D$5:$D$34</c15:sqref>
                        </c15:formulaRef>
                      </c:ext>
                    </c:extLst>
                    <c:numCache>
                      <c:formatCode>General</c:formatCode>
                      <c:ptCount val="3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C6-42BA-AE26-C9A7DCEC5C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2'!$H$4</c15:sqref>
                        </c15:formulaRef>
                      </c:ext>
                    </c:extLst>
                    <c:strCache>
                      <c:ptCount val="1"/>
                      <c:pt idx="0">
                        <c:v>Difference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2'!$E$5:$E$37</c15:sqref>
                        </c15:formulaRef>
                      </c:ext>
                    </c:extLst>
                    <c:strCache>
                      <c:ptCount val="33"/>
                      <c:pt idx="0">
                        <c:v>EU-28</c:v>
                      </c:pt>
                      <c:pt idx="2">
                        <c:v>Bulgaria</c:v>
                      </c:pt>
                      <c:pt idx="3">
                        <c:v>Croatia</c:v>
                      </c:pt>
                      <c:pt idx="4">
                        <c:v>Greece</c:v>
                      </c:pt>
                      <c:pt idx="5">
                        <c:v>Lithuania</c:v>
                      </c:pt>
                      <c:pt idx="6">
                        <c:v>Hungary</c:v>
                      </c:pt>
                      <c:pt idx="7">
                        <c:v>Latvia </c:v>
                      </c:pt>
                      <c:pt idx="8">
                        <c:v>Portugal</c:v>
                      </c:pt>
                      <c:pt idx="9">
                        <c:v>Estonia</c:v>
                      </c:pt>
                      <c:pt idx="10">
                        <c:v>Slovakia</c:v>
                      </c:pt>
                      <c:pt idx="11">
                        <c:v>Italy </c:v>
                      </c:pt>
                      <c:pt idx="12">
                        <c:v>Cyprus</c:v>
                      </c:pt>
                      <c:pt idx="13">
                        <c:v>Spain</c:v>
                      </c:pt>
                      <c:pt idx="14">
                        <c:v>France</c:v>
                      </c:pt>
                      <c:pt idx="15">
                        <c:v>Slovenia</c:v>
                      </c:pt>
                      <c:pt idx="16">
                        <c:v>Romania</c:v>
                      </c:pt>
                      <c:pt idx="17">
                        <c:v>Czechia</c:v>
                      </c:pt>
                      <c:pt idx="18">
                        <c:v>Germany</c:v>
                      </c:pt>
                      <c:pt idx="19">
                        <c:v>Malta</c:v>
                      </c:pt>
                      <c:pt idx="20">
                        <c:v>United Kingdom (¹)</c:v>
                      </c:pt>
                      <c:pt idx="21">
                        <c:v>Belgium</c:v>
                      </c:pt>
                      <c:pt idx="22">
                        <c:v>Luxembourg</c:v>
                      </c:pt>
                      <c:pt idx="23">
                        <c:v>Netherlands</c:v>
                      </c:pt>
                      <c:pt idx="24">
                        <c:v>Denmark</c:v>
                      </c:pt>
                      <c:pt idx="25">
                        <c:v>Sweden</c:v>
                      </c:pt>
                      <c:pt idx="26">
                        <c:v>Poland</c:v>
                      </c:pt>
                      <c:pt idx="27">
                        <c:v>Austria</c:v>
                      </c:pt>
                      <c:pt idx="28">
                        <c:v>Ireland (¹)</c:v>
                      </c:pt>
                      <c:pt idx="29">
                        <c:v>Finland</c:v>
                      </c:pt>
                      <c:pt idx="31">
                        <c:v>Norway</c:v>
                      </c:pt>
                      <c:pt idx="32">
                        <c:v>Switzerland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2'!$H$5:$H$34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0.29999999999999982</c:v>
                      </c:pt>
                      <c:pt idx="2">
                        <c:v>0.60000000000000053</c:v>
                      </c:pt>
                      <c:pt idx="3">
                        <c:v>0</c:v>
                      </c:pt>
                      <c:pt idx="4">
                        <c:v>0.20000000000000018</c:v>
                      </c:pt>
                      <c:pt idx="5">
                        <c:v>-0.29999999999999982</c:v>
                      </c:pt>
                      <c:pt idx="6">
                        <c:v>0.40000000000000036</c:v>
                      </c:pt>
                      <c:pt idx="7">
                        <c:v>0.20000000000000018</c:v>
                      </c:pt>
                      <c:pt idx="8">
                        <c:v>0.5</c:v>
                      </c:pt>
                      <c:pt idx="9">
                        <c:v>0.5</c:v>
                      </c:pt>
                      <c:pt idx="10">
                        <c:v>9.9999999999999645E-2</c:v>
                      </c:pt>
                      <c:pt idx="11">
                        <c:v>0.39999999999999947</c:v>
                      </c:pt>
                      <c:pt idx="12">
                        <c:v>0.89999999999999947</c:v>
                      </c:pt>
                      <c:pt idx="13">
                        <c:v>0.39999999999999947</c:v>
                      </c:pt>
                      <c:pt idx="14">
                        <c:v>0.20000000000000018</c:v>
                      </c:pt>
                      <c:pt idx="15">
                        <c:v>0.29999999999999982</c:v>
                      </c:pt>
                      <c:pt idx="16">
                        <c:v>0.20000000000000018</c:v>
                      </c:pt>
                      <c:pt idx="17">
                        <c:v>0.5</c:v>
                      </c:pt>
                      <c:pt idx="18">
                        <c:v>0.10000000000000053</c:v>
                      </c:pt>
                      <c:pt idx="19">
                        <c:v>0.40000000000000036</c:v>
                      </c:pt>
                      <c:pt idx="20">
                        <c:v>0.29999999999999982</c:v>
                      </c:pt>
                      <c:pt idx="21">
                        <c:v>0</c:v>
                      </c:pt>
                      <c:pt idx="22">
                        <c:v>9.9999999999999645E-2</c:v>
                      </c:pt>
                      <c:pt idx="23">
                        <c:v>-9.9999999999999645E-2</c:v>
                      </c:pt>
                      <c:pt idx="24">
                        <c:v>-0.20000000000000018</c:v>
                      </c:pt>
                      <c:pt idx="25">
                        <c:v>-0.10000000000000053</c:v>
                      </c:pt>
                      <c:pt idx="26">
                        <c:v>0.5</c:v>
                      </c:pt>
                      <c:pt idx="27">
                        <c:v>0.20000000000000018</c:v>
                      </c:pt>
                      <c:pt idx="28">
                        <c:v>0.69999999999999929</c:v>
                      </c:pt>
                      <c:pt idx="29">
                        <c:v>9.9999999999999645E-2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8C6-42BA-AE26-C9A7DCEC5CFA}"/>
                  </c:ext>
                </c:extLst>
              </c15:ser>
            </c15:filteredBarSeries>
          </c:ext>
        </c:extLst>
      </c:barChart>
      <c:catAx>
        <c:axId val="495579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5580080"/>
        <c:crosses val="autoZero"/>
        <c:auto val="1"/>
        <c:lblAlgn val="ctr"/>
        <c:lblOffset val="100"/>
        <c:tickMarkSkip val="1"/>
        <c:noMultiLvlLbl val="0"/>
      </c:catAx>
      <c:valAx>
        <c:axId val="495580080"/>
        <c:scaling>
          <c:orientation val="minMax"/>
          <c:max val="1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557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49564304461942"/>
          <c:y val="0.85824242080349267"/>
          <c:w val="9.3008608923884517E-2"/>
          <c:h val="3.525667915114809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country, 2013 and 2018</a:t>
            </a:r>
          </a:p>
          <a:p>
            <a:pPr algn="l">
              <a:defRPr sz="1800" b="1"/>
            </a:pPr>
            <a:r>
              <a:rPr lang="en-US" sz="1600" b="0"/>
              <a:t>(% of the population by satisfaction level)</a:t>
            </a:r>
          </a:p>
        </c:rich>
      </c:tx>
      <c:layout>
        <c:manualLayout>
          <c:xMode val="edge"/>
          <c:yMode val="edge"/>
          <c:x val="5.3333333333333332E-3"/>
          <c:y val="9.06495198698215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3393466560766137"/>
          <c:w val="0.97066666666666668"/>
          <c:h val="0.69580572879983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3'!$D$5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3'!$B$6:$C$99</c:f>
              <c:multiLvlStrCache>
                <c:ptCount val="94"/>
                <c:lvl>
                  <c:pt idx="0">
                    <c:v>2013</c:v>
                  </c:pt>
                  <c:pt idx="1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7">
                    <c:v>2013</c:v>
                  </c:pt>
                  <c:pt idx="8">
                    <c:v>2018</c:v>
                  </c:pt>
                  <c:pt idx="10">
                    <c:v>2013</c:v>
                  </c:pt>
                  <c:pt idx="11">
                    <c:v>2018</c:v>
                  </c:pt>
                  <c:pt idx="13">
                    <c:v>2013</c:v>
                  </c:pt>
                  <c:pt idx="14">
                    <c:v>2018</c:v>
                  </c:pt>
                  <c:pt idx="16">
                    <c:v>2013</c:v>
                  </c:pt>
                  <c:pt idx="17">
                    <c:v>2018</c:v>
                  </c:pt>
                  <c:pt idx="19">
                    <c:v>2013</c:v>
                  </c:pt>
                  <c:pt idx="20">
                    <c:v>2018</c:v>
                  </c:pt>
                  <c:pt idx="22">
                    <c:v>2013</c:v>
                  </c:pt>
                  <c:pt idx="23">
                    <c:v>2018</c:v>
                  </c:pt>
                  <c:pt idx="25">
                    <c:v>2013</c:v>
                  </c:pt>
                  <c:pt idx="26">
                    <c:v>2018</c:v>
                  </c:pt>
                  <c:pt idx="28">
                    <c:v>2013</c:v>
                  </c:pt>
                  <c:pt idx="29">
                    <c:v>2018</c:v>
                  </c:pt>
                  <c:pt idx="31">
                    <c:v>2013</c:v>
                  </c:pt>
                  <c:pt idx="32">
                    <c:v>2018</c:v>
                  </c:pt>
                  <c:pt idx="34">
                    <c:v>2013</c:v>
                  </c:pt>
                  <c:pt idx="35">
                    <c:v>2018</c:v>
                  </c:pt>
                  <c:pt idx="37">
                    <c:v>2013</c:v>
                  </c:pt>
                  <c:pt idx="38">
                    <c:v>2018</c:v>
                  </c:pt>
                  <c:pt idx="40">
                    <c:v>2013</c:v>
                  </c:pt>
                  <c:pt idx="41">
                    <c:v>2018</c:v>
                  </c:pt>
                  <c:pt idx="43">
                    <c:v>2013</c:v>
                  </c:pt>
                  <c:pt idx="44">
                    <c:v>2018</c:v>
                  </c:pt>
                  <c:pt idx="46">
                    <c:v>2013</c:v>
                  </c:pt>
                  <c:pt idx="47">
                    <c:v>2018</c:v>
                  </c:pt>
                  <c:pt idx="49">
                    <c:v>2013</c:v>
                  </c:pt>
                  <c:pt idx="50">
                    <c:v>2018</c:v>
                  </c:pt>
                  <c:pt idx="52">
                    <c:v>2013</c:v>
                  </c:pt>
                  <c:pt idx="53">
                    <c:v>2018</c:v>
                  </c:pt>
                  <c:pt idx="55">
                    <c:v>2013</c:v>
                  </c:pt>
                  <c:pt idx="56">
                    <c:v>2018</c:v>
                  </c:pt>
                  <c:pt idx="58">
                    <c:v>2013</c:v>
                  </c:pt>
                  <c:pt idx="59">
                    <c:v>2018</c:v>
                  </c:pt>
                  <c:pt idx="61">
                    <c:v>2013</c:v>
                  </c:pt>
                  <c:pt idx="62">
                    <c:v>2018</c:v>
                  </c:pt>
                  <c:pt idx="64">
                    <c:v>2013</c:v>
                  </c:pt>
                  <c:pt idx="65">
                    <c:v>2018</c:v>
                  </c:pt>
                  <c:pt idx="67">
                    <c:v>2013</c:v>
                  </c:pt>
                  <c:pt idx="68">
                    <c:v>2018</c:v>
                  </c:pt>
                  <c:pt idx="70">
                    <c:v>2013</c:v>
                  </c:pt>
                  <c:pt idx="71">
                    <c:v>2018</c:v>
                  </c:pt>
                  <c:pt idx="73">
                    <c:v>2013</c:v>
                  </c:pt>
                  <c:pt idx="74">
                    <c:v>2018</c:v>
                  </c:pt>
                  <c:pt idx="76">
                    <c:v>2013</c:v>
                  </c:pt>
                  <c:pt idx="77">
                    <c:v>2018</c:v>
                  </c:pt>
                  <c:pt idx="79">
                    <c:v>2013</c:v>
                  </c:pt>
                  <c:pt idx="80">
                    <c:v>2018</c:v>
                  </c:pt>
                  <c:pt idx="82">
                    <c:v>2013</c:v>
                  </c:pt>
                  <c:pt idx="83">
                    <c:v>2018</c:v>
                  </c:pt>
                  <c:pt idx="85">
                    <c:v>2013</c:v>
                  </c:pt>
                  <c:pt idx="86">
                    <c:v>2018</c:v>
                  </c:pt>
                  <c:pt idx="89">
                    <c:v>2013</c:v>
                  </c:pt>
                  <c:pt idx="90">
                    <c:v>2018</c:v>
                  </c:pt>
                  <c:pt idx="92">
                    <c:v>2013</c:v>
                  </c:pt>
                  <c:pt idx="93">
                    <c:v>2018</c:v>
                  </c:pt>
                </c:lvl>
                <c:lvl>
                  <c:pt idx="0">
                    <c:v>EU-28</c:v>
                  </c:pt>
                  <c:pt idx="4">
                    <c:v>BG</c:v>
                  </c:pt>
                  <c:pt idx="7">
                    <c:v>HR</c:v>
                  </c:pt>
                  <c:pt idx="10">
                    <c:v>LT</c:v>
                  </c:pt>
                  <c:pt idx="13">
                    <c:v>HU</c:v>
                  </c:pt>
                  <c:pt idx="16">
                    <c:v>PT</c:v>
                  </c:pt>
                  <c:pt idx="19">
                    <c:v>EL</c:v>
                  </c:pt>
                  <c:pt idx="22">
                    <c:v>LV</c:v>
                  </c:pt>
                  <c:pt idx="25">
                    <c:v>SK</c:v>
                  </c:pt>
                  <c:pt idx="28">
                    <c:v>EE</c:v>
                  </c:pt>
                  <c:pt idx="31">
                    <c:v>CY</c:v>
                  </c:pt>
                  <c:pt idx="34">
                    <c:v>CZ</c:v>
                  </c:pt>
                  <c:pt idx="37">
                    <c:v>SI</c:v>
                  </c:pt>
                  <c:pt idx="40">
                    <c:v>ES</c:v>
                  </c:pt>
                  <c:pt idx="43">
                    <c:v>IT</c:v>
                  </c:pt>
                  <c:pt idx="46">
                    <c:v>DE</c:v>
                  </c:pt>
                  <c:pt idx="49">
                    <c:v>RO</c:v>
                  </c:pt>
                  <c:pt idx="52">
                    <c:v>FR</c:v>
                  </c:pt>
                  <c:pt idx="55">
                    <c:v>DK</c:v>
                  </c:pt>
                  <c:pt idx="58">
                    <c:v>MT</c:v>
                  </c:pt>
                  <c:pt idx="61">
                    <c:v>UK (¹)</c:v>
                  </c:pt>
                  <c:pt idx="64">
                    <c:v>PL</c:v>
                  </c:pt>
                  <c:pt idx="67">
                    <c:v>LU</c:v>
                  </c:pt>
                  <c:pt idx="70">
                    <c:v>SE</c:v>
                  </c:pt>
                  <c:pt idx="73">
                    <c:v>AT</c:v>
                  </c:pt>
                  <c:pt idx="76">
                    <c:v>IE (¹)</c:v>
                  </c:pt>
                  <c:pt idx="79">
                    <c:v>BE</c:v>
                  </c:pt>
                  <c:pt idx="82">
                    <c:v>NL</c:v>
                  </c:pt>
                  <c:pt idx="85">
                    <c:v>FI</c:v>
                  </c:pt>
                  <c:pt idx="89">
                    <c:v>NO</c:v>
                  </c:pt>
                  <c:pt idx="92">
                    <c:v>CH</c:v>
                  </c:pt>
                </c:lvl>
              </c:multiLvlStrCache>
            </c:multiLvlStrRef>
          </c:cat>
          <c:val>
            <c:numRef>
              <c:f>'Figure 3'!$D$6:$D$99</c:f>
              <c:numCache>
                <c:formatCode>0.00%</c:formatCode>
                <c:ptCount val="94"/>
                <c:pt idx="0">
                  <c:v>0.21</c:v>
                </c:pt>
                <c:pt idx="1">
                  <c:v>0.16200000000000001</c:v>
                </c:pt>
                <c:pt idx="4">
                  <c:v>0.64200000000000002</c:v>
                </c:pt>
                <c:pt idx="5">
                  <c:v>0.54</c:v>
                </c:pt>
                <c:pt idx="7">
                  <c:v>0.35399999999999998</c:v>
                </c:pt>
                <c:pt idx="8">
                  <c:v>0.36799999999999999</c:v>
                </c:pt>
                <c:pt idx="10">
                  <c:v>0.27899999999999997</c:v>
                </c:pt>
                <c:pt idx="11">
                  <c:v>0.36200000000000004</c:v>
                </c:pt>
                <c:pt idx="13">
                  <c:v>0.38500000000000001</c:v>
                </c:pt>
                <c:pt idx="14">
                  <c:v>0.30299999999999999</c:v>
                </c:pt>
                <c:pt idx="16">
                  <c:v>0.40500000000000003</c:v>
                </c:pt>
                <c:pt idx="17">
                  <c:v>0.30099999999999999</c:v>
                </c:pt>
                <c:pt idx="19">
                  <c:v>0.35499999999999998</c:v>
                </c:pt>
                <c:pt idx="20">
                  <c:v>0.26899999999999996</c:v>
                </c:pt>
                <c:pt idx="22">
                  <c:v>0.308</c:v>
                </c:pt>
                <c:pt idx="23">
                  <c:v>0.26400000000000001</c:v>
                </c:pt>
                <c:pt idx="25">
                  <c:v>0.26400000000000001</c:v>
                </c:pt>
                <c:pt idx="26">
                  <c:v>0.253</c:v>
                </c:pt>
                <c:pt idx="28">
                  <c:v>0.34399999999999997</c:v>
                </c:pt>
                <c:pt idx="29">
                  <c:v>0.222</c:v>
                </c:pt>
                <c:pt idx="31">
                  <c:v>0.37</c:v>
                </c:pt>
                <c:pt idx="32">
                  <c:v>0.2</c:v>
                </c:pt>
                <c:pt idx="34">
                  <c:v>0.254</c:v>
                </c:pt>
                <c:pt idx="35">
                  <c:v>0.18</c:v>
                </c:pt>
                <c:pt idx="37">
                  <c:v>0.24399999999999999</c:v>
                </c:pt>
                <c:pt idx="38">
                  <c:v>0.17699999999999999</c:v>
                </c:pt>
                <c:pt idx="40">
                  <c:v>0.23199999999999998</c:v>
                </c:pt>
                <c:pt idx="41">
                  <c:v>0.158</c:v>
                </c:pt>
                <c:pt idx="43">
                  <c:v>0.22699999999999998</c:v>
                </c:pt>
                <c:pt idx="44">
                  <c:v>0.157</c:v>
                </c:pt>
                <c:pt idx="46">
                  <c:v>0.192</c:v>
                </c:pt>
                <c:pt idx="47">
                  <c:v>0.17199999999999999</c:v>
                </c:pt>
                <c:pt idx="49">
                  <c:v>0.16699999999999998</c:v>
                </c:pt>
                <c:pt idx="50">
                  <c:v>0.153</c:v>
                </c:pt>
                <c:pt idx="52">
                  <c:v>0.191</c:v>
                </c:pt>
                <c:pt idx="53">
                  <c:v>0.15</c:v>
                </c:pt>
                <c:pt idx="55">
                  <c:v>0.106</c:v>
                </c:pt>
                <c:pt idx="56">
                  <c:v>0.14099999999999999</c:v>
                </c:pt>
                <c:pt idx="58">
                  <c:v>0.20399999999999999</c:v>
                </c:pt>
                <c:pt idx="59">
                  <c:v>0.13800000000000001</c:v>
                </c:pt>
                <c:pt idx="61">
                  <c:v>0.191</c:v>
                </c:pt>
                <c:pt idx="62">
                  <c:v>0.13200000000000001</c:v>
                </c:pt>
                <c:pt idx="64">
                  <c:v>0.19899999999999998</c:v>
                </c:pt>
                <c:pt idx="65">
                  <c:v>0.124</c:v>
                </c:pt>
                <c:pt idx="67">
                  <c:v>0.14800000000000002</c:v>
                </c:pt>
                <c:pt idx="68">
                  <c:v>0.12</c:v>
                </c:pt>
                <c:pt idx="70">
                  <c:v>0.09</c:v>
                </c:pt>
                <c:pt idx="71">
                  <c:v>0.114</c:v>
                </c:pt>
                <c:pt idx="73">
                  <c:v>0.129</c:v>
                </c:pt>
                <c:pt idx="74">
                  <c:v>9.6000000000000002E-2</c:v>
                </c:pt>
                <c:pt idx="76">
                  <c:v>0.16699999999999998</c:v>
                </c:pt>
                <c:pt idx="77">
                  <c:v>9.4E-2</c:v>
                </c:pt>
                <c:pt idx="79">
                  <c:v>9.1999999999999998E-2</c:v>
                </c:pt>
                <c:pt idx="80">
                  <c:v>8.5999999999999993E-2</c:v>
                </c:pt>
                <c:pt idx="82">
                  <c:v>5.5999999999999994E-2</c:v>
                </c:pt>
                <c:pt idx="83">
                  <c:v>6.3E-2</c:v>
                </c:pt>
                <c:pt idx="85">
                  <c:v>0.06</c:v>
                </c:pt>
                <c:pt idx="86">
                  <c:v>5.2000000000000005E-2</c:v>
                </c:pt>
                <c:pt idx="89">
                  <c:v>0.10300000000000001</c:v>
                </c:pt>
                <c:pt idx="90">
                  <c:v>0.10099999999999999</c:v>
                </c:pt>
                <c:pt idx="92">
                  <c:v>0.08</c:v>
                </c:pt>
                <c:pt idx="93">
                  <c:v>8.900000000000001E-2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0-40FF-A05C-BF64FBA913AD}"/>
            </c:ext>
          </c:extLst>
        </c:ser>
        <c:ser>
          <c:idx val="1"/>
          <c:order val="1"/>
          <c:tx>
            <c:strRef>
              <c:f>'Figure 3'!$E$5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3'!$B$6:$C$99</c:f>
              <c:multiLvlStrCache>
                <c:ptCount val="94"/>
                <c:lvl>
                  <c:pt idx="0">
                    <c:v>2013</c:v>
                  </c:pt>
                  <c:pt idx="1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7">
                    <c:v>2013</c:v>
                  </c:pt>
                  <c:pt idx="8">
                    <c:v>2018</c:v>
                  </c:pt>
                  <c:pt idx="10">
                    <c:v>2013</c:v>
                  </c:pt>
                  <c:pt idx="11">
                    <c:v>2018</c:v>
                  </c:pt>
                  <c:pt idx="13">
                    <c:v>2013</c:v>
                  </c:pt>
                  <c:pt idx="14">
                    <c:v>2018</c:v>
                  </c:pt>
                  <c:pt idx="16">
                    <c:v>2013</c:v>
                  </c:pt>
                  <c:pt idx="17">
                    <c:v>2018</c:v>
                  </c:pt>
                  <c:pt idx="19">
                    <c:v>2013</c:v>
                  </c:pt>
                  <c:pt idx="20">
                    <c:v>2018</c:v>
                  </c:pt>
                  <c:pt idx="22">
                    <c:v>2013</c:v>
                  </c:pt>
                  <c:pt idx="23">
                    <c:v>2018</c:v>
                  </c:pt>
                  <c:pt idx="25">
                    <c:v>2013</c:v>
                  </c:pt>
                  <c:pt idx="26">
                    <c:v>2018</c:v>
                  </c:pt>
                  <c:pt idx="28">
                    <c:v>2013</c:v>
                  </c:pt>
                  <c:pt idx="29">
                    <c:v>2018</c:v>
                  </c:pt>
                  <c:pt idx="31">
                    <c:v>2013</c:v>
                  </c:pt>
                  <c:pt idx="32">
                    <c:v>2018</c:v>
                  </c:pt>
                  <c:pt idx="34">
                    <c:v>2013</c:v>
                  </c:pt>
                  <c:pt idx="35">
                    <c:v>2018</c:v>
                  </c:pt>
                  <c:pt idx="37">
                    <c:v>2013</c:v>
                  </c:pt>
                  <c:pt idx="38">
                    <c:v>2018</c:v>
                  </c:pt>
                  <c:pt idx="40">
                    <c:v>2013</c:v>
                  </c:pt>
                  <c:pt idx="41">
                    <c:v>2018</c:v>
                  </c:pt>
                  <c:pt idx="43">
                    <c:v>2013</c:v>
                  </c:pt>
                  <c:pt idx="44">
                    <c:v>2018</c:v>
                  </c:pt>
                  <c:pt idx="46">
                    <c:v>2013</c:v>
                  </c:pt>
                  <c:pt idx="47">
                    <c:v>2018</c:v>
                  </c:pt>
                  <c:pt idx="49">
                    <c:v>2013</c:v>
                  </c:pt>
                  <c:pt idx="50">
                    <c:v>2018</c:v>
                  </c:pt>
                  <c:pt idx="52">
                    <c:v>2013</c:v>
                  </c:pt>
                  <c:pt idx="53">
                    <c:v>2018</c:v>
                  </c:pt>
                  <c:pt idx="55">
                    <c:v>2013</c:v>
                  </c:pt>
                  <c:pt idx="56">
                    <c:v>2018</c:v>
                  </c:pt>
                  <c:pt idx="58">
                    <c:v>2013</c:v>
                  </c:pt>
                  <c:pt idx="59">
                    <c:v>2018</c:v>
                  </c:pt>
                  <c:pt idx="61">
                    <c:v>2013</c:v>
                  </c:pt>
                  <c:pt idx="62">
                    <c:v>2018</c:v>
                  </c:pt>
                  <c:pt idx="64">
                    <c:v>2013</c:v>
                  </c:pt>
                  <c:pt idx="65">
                    <c:v>2018</c:v>
                  </c:pt>
                  <c:pt idx="67">
                    <c:v>2013</c:v>
                  </c:pt>
                  <c:pt idx="68">
                    <c:v>2018</c:v>
                  </c:pt>
                  <c:pt idx="70">
                    <c:v>2013</c:v>
                  </c:pt>
                  <c:pt idx="71">
                    <c:v>2018</c:v>
                  </c:pt>
                  <c:pt idx="73">
                    <c:v>2013</c:v>
                  </c:pt>
                  <c:pt idx="74">
                    <c:v>2018</c:v>
                  </c:pt>
                  <c:pt idx="76">
                    <c:v>2013</c:v>
                  </c:pt>
                  <c:pt idx="77">
                    <c:v>2018</c:v>
                  </c:pt>
                  <c:pt idx="79">
                    <c:v>2013</c:v>
                  </c:pt>
                  <c:pt idx="80">
                    <c:v>2018</c:v>
                  </c:pt>
                  <c:pt idx="82">
                    <c:v>2013</c:v>
                  </c:pt>
                  <c:pt idx="83">
                    <c:v>2018</c:v>
                  </c:pt>
                  <c:pt idx="85">
                    <c:v>2013</c:v>
                  </c:pt>
                  <c:pt idx="86">
                    <c:v>2018</c:v>
                  </c:pt>
                  <c:pt idx="89">
                    <c:v>2013</c:v>
                  </c:pt>
                  <c:pt idx="90">
                    <c:v>2018</c:v>
                  </c:pt>
                  <c:pt idx="92">
                    <c:v>2013</c:v>
                  </c:pt>
                  <c:pt idx="93">
                    <c:v>2018</c:v>
                  </c:pt>
                </c:lvl>
                <c:lvl>
                  <c:pt idx="0">
                    <c:v>EU-28</c:v>
                  </c:pt>
                  <c:pt idx="4">
                    <c:v>BG</c:v>
                  </c:pt>
                  <c:pt idx="7">
                    <c:v>HR</c:v>
                  </c:pt>
                  <c:pt idx="10">
                    <c:v>LT</c:v>
                  </c:pt>
                  <c:pt idx="13">
                    <c:v>HU</c:v>
                  </c:pt>
                  <c:pt idx="16">
                    <c:v>PT</c:v>
                  </c:pt>
                  <c:pt idx="19">
                    <c:v>EL</c:v>
                  </c:pt>
                  <c:pt idx="22">
                    <c:v>LV</c:v>
                  </c:pt>
                  <c:pt idx="25">
                    <c:v>SK</c:v>
                  </c:pt>
                  <c:pt idx="28">
                    <c:v>EE</c:v>
                  </c:pt>
                  <c:pt idx="31">
                    <c:v>CY</c:v>
                  </c:pt>
                  <c:pt idx="34">
                    <c:v>CZ</c:v>
                  </c:pt>
                  <c:pt idx="37">
                    <c:v>SI</c:v>
                  </c:pt>
                  <c:pt idx="40">
                    <c:v>ES</c:v>
                  </c:pt>
                  <c:pt idx="43">
                    <c:v>IT</c:v>
                  </c:pt>
                  <c:pt idx="46">
                    <c:v>DE</c:v>
                  </c:pt>
                  <c:pt idx="49">
                    <c:v>RO</c:v>
                  </c:pt>
                  <c:pt idx="52">
                    <c:v>FR</c:v>
                  </c:pt>
                  <c:pt idx="55">
                    <c:v>DK</c:v>
                  </c:pt>
                  <c:pt idx="58">
                    <c:v>MT</c:v>
                  </c:pt>
                  <c:pt idx="61">
                    <c:v>UK (¹)</c:v>
                  </c:pt>
                  <c:pt idx="64">
                    <c:v>PL</c:v>
                  </c:pt>
                  <c:pt idx="67">
                    <c:v>LU</c:v>
                  </c:pt>
                  <c:pt idx="70">
                    <c:v>SE</c:v>
                  </c:pt>
                  <c:pt idx="73">
                    <c:v>AT</c:v>
                  </c:pt>
                  <c:pt idx="76">
                    <c:v>IE (¹)</c:v>
                  </c:pt>
                  <c:pt idx="79">
                    <c:v>BE</c:v>
                  </c:pt>
                  <c:pt idx="82">
                    <c:v>NL</c:v>
                  </c:pt>
                  <c:pt idx="85">
                    <c:v>FI</c:v>
                  </c:pt>
                  <c:pt idx="89">
                    <c:v>NO</c:v>
                  </c:pt>
                  <c:pt idx="92">
                    <c:v>CH</c:v>
                  </c:pt>
                </c:lvl>
              </c:multiLvlStrCache>
            </c:multiLvlStrRef>
          </c:cat>
          <c:val>
            <c:numRef>
              <c:f>'Figure 3'!$E$6:$E$99</c:f>
              <c:numCache>
                <c:formatCode>0.00%</c:formatCode>
                <c:ptCount val="94"/>
                <c:pt idx="0">
                  <c:v>0.57299999999999995</c:v>
                </c:pt>
                <c:pt idx="1">
                  <c:v>0.58399999999999996</c:v>
                </c:pt>
                <c:pt idx="4">
                  <c:v>0.29799999999999999</c:v>
                </c:pt>
                <c:pt idx="5">
                  <c:v>0.36599999999999999</c:v>
                </c:pt>
                <c:pt idx="7">
                  <c:v>0.495</c:v>
                </c:pt>
                <c:pt idx="8">
                  <c:v>0.46700000000000003</c:v>
                </c:pt>
                <c:pt idx="10">
                  <c:v>0.53299999999999992</c:v>
                </c:pt>
                <c:pt idx="11">
                  <c:v>0.46200000000000002</c:v>
                </c:pt>
                <c:pt idx="13">
                  <c:v>0.502</c:v>
                </c:pt>
                <c:pt idx="14">
                  <c:v>0.56600000000000006</c:v>
                </c:pt>
                <c:pt idx="16">
                  <c:v>0.45700000000000002</c:v>
                </c:pt>
                <c:pt idx="17">
                  <c:v>0.51300000000000001</c:v>
                </c:pt>
                <c:pt idx="19">
                  <c:v>0.51800000000000002</c:v>
                </c:pt>
                <c:pt idx="20">
                  <c:v>0.59599999999999997</c:v>
                </c:pt>
                <c:pt idx="22">
                  <c:v>0.56600000000000006</c:v>
                </c:pt>
                <c:pt idx="23">
                  <c:v>0.58299999999999996</c:v>
                </c:pt>
                <c:pt idx="25">
                  <c:v>0.48599999999999999</c:v>
                </c:pt>
                <c:pt idx="26">
                  <c:v>0.47200000000000003</c:v>
                </c:pt>
                <c:pt idx="28">
                  <c:v>0.52100000000000002</c:v>
                </c:pt>
                <c:pt idx="29">
                  <c:v>0.58399999999999996</c:v>
                </c:pt>
                <c:pt idx="31">
                  <c:v>0.48799999999999999</c:v>
                </c:pt>
                <c:pt idx="32">
                  <c:v>0.57700000000000007</c:v>
                </c:pt>
                <c:pt idx="34">
                  <c:v>0.53299999999999992</c:v>
                </c:pt>
                <c:pt idx="35">
                  <c:v>0.52400000000000002</c:v>
                </c:pt>
                <c:pt idx="37">
                  <c:v>0.55200000000000005</c:v>
                </c:pt>
                <c:pt idx="38">
                  <c:v>0.57700000000000007</c:v>
                </c:pt>
                <c:pt idx="40">
                  <c:v>0.58399999999999996</c:v>
                </c:pt>
                <c:pt idx="41">
                  <c:v>0.59799999999999998</c:v>
                </c:pt>
                <c:pt idx="43">
                  <c:v>0.63</c:v>
                </c:pt>
                <c:pt idx="44">
                  <c:v>0.66299999999999992</c:v>
                </c:pt>
                <c:pt idx="46">
                  <c:v>0.55799999999999994</c:v>
                </c:pt>
                <c:pt idx="47">
                  <c:v>0.54500000000000004</c:v>
                </c:pt>
                <c:pt idx="49">
                  <c:v>0.63700000000000001</c:v>
                </c:pt>
                <c:pt idx="50">
                  <c:v>0.60099999999999998</c:v>
                </c:pt>
                <c:pt idx="52">
                  <c:v>0.64800000000000002</c:v>
                </c:pt>
                <c:pt idx="53">
                  <c:v>0.66700000000000004</c:v>
                </c:pt>
                <c:pt idx="55">
                  <c:v>0.46600000000000003</c:v>
                </c:pt>
                <c:pt idx="56">
                  <c:v>0.44600000000000001</c:v>
                </c:pt>
                <c:pt idx="58">
                  <c:v>0.57700000000000007</c:v>
                </c:pt>
                <c:pt idx="59">
                  <c:v>0.59499999999999997</c:v>
                </c:pt>
                <c:pt idx="61">
                  <c:v>0.53200000000000003</c:v>
                </c:pt>
                <c:pt idx="62">
                  <c:v>0.55100000000000005</c:v>
                </c:pt>
                <c:pt idx="64">
                  <c:v>0.50700000000000001</c:v>
                </c:pt>
                <c:pt idx="65">
                  <c:v>0.51700000000000002</c:v>
                </c:pt>
                <c:pt idx="67">
                  <c:v>0.59499999999999997</c:v>
                </c:pt>
                <c:pt idx="68">
                  <c:v>0.61699999999999999</c:v>
                </c:pt>
                <c:pt idx="70">
                  <c:v>0.56600000000000006</c:v>
                </c:pt>
                <c:pt idx="71">
                  <c:v>0.53600000000000003</c:v>
                </c:pt>
                <c:pt idx="73">
                  <c:v>0.49299999999999999</c:v>
                </c:pt>
                <c:pt idx="74">
                  <c:v>0.50700000000000001</c:v>
                </c:pt>
                <c:pt idx="76">
                  <c:v>0.52700000000000002</c:v>
                </c:pt>
                <c:pt idx="77">
                  <c:v>0.47399999999999998</c:v>
                </c:pt>
                <c:pt idx="79">
                  <c:v>0.69900000000000007</c:v>
                </c:pt>
                <c:pt idx="80">
                  <c:v>0.70200000000000007</c:v>
                </c:pt>
                <c:pt idx="82">
                  <c:v>0.68299999999999994</c:v>
                </c:pt>
                <c:pt idx="83">
                  <c:v>0.69700000000000006</c:v>
                </c:pt>
                <c:pt idx="85">
                  <c:v>0.55500000000000005</c:v>
                </c:pt>
                <c:pt idx="86">
                  <c:v>0.53799999999999992</c:v>
                </c:pt>
                <c:pt idx="89">
                  <c:v>0.54100000000000004</c:v>
                </c:pt>
                <c:pt idx="90">
                  <c:v>0.502</c:v>
                </c:pt>
                <c:pt idx="92">
                  <c:v>0.53500000000000003</c:v>
                </c:pt>
                <c:pt idx="93">
                  <c:v>0.53100000000000003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0-40FF-A05C-BF64FBA913AD}"/>
            </c:ext>
          </c:extLst>
        </c:ser>
        <c:ser>
          <c:idx val="2"/>
          <c:order val="2"/>
          <c:tx>
            <c:strRef>
              <c:f>'Figure 3'!$F$5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'Figure 3'!$B$6:$C$99</c:f>
              <c:multiLvlStrCache>
                <c:ptCount val="94"/>
                <c:lvl>
                  <c:pt idx="0">
                    <c:v>2013</c:v>
                  </c:pt>
                  <c:pt idx="1">
                    <c:v>2018</c:v>
                  </c:pt>
                  <c:pt idx="4">
                    <c:v>2013</c:v>
                  </c:pt>
                  <c:pt idx="5">
                    <c:v>2018</c:v>
                  </c:pt>
                  <c:pt idx="7">
                    <c:v>2013</c:v>
                  </c:pt>
                  <c:pt idx="8">
                    <c:v>2018</c:v>
                  </c:pt>
                  <c:pt idx="10">
                    <c:v>2013</c:v>
                  </c:pt>
                  <c:pt idx="11">
                    <c:v>2018</c:v>
                  </c:pt>
                  <c:pt idx="13">
                    <c:v>2013</c:v>
                  </c:pt>
                  <c:pt idx="14">
                    <c:v>2018</c:v>
                  </c:pt>
                  <c:pt idx="16">
                    <c:v>2013</c:v>
                  </c:pt>
                  <c:pt idx="17">
                    <c:v>2018</c:v>
                  </c:pt>
                  <c:pt idx="19">
                    <c:v>2013</c:v>
                  </c:pt>
                  <c:pt idx="20">
                    <c:v>2018</c:v>
                  </c:pt>
                  <c:pt idx="22">
                    <c:v>2013</c:v>
                  </c:pt>
                  <c:pt idx="23">
                    <c:v>2018</c:v>
                  </c:pt>
                  <c:pt idx="25">
                    <c:v>2013</c:v>
                  </c:pt>
                  <c:pt idx="26">
                    <c:v>2018</c:v>
                  </c:pt>
                  <c:pt idx="28">
                    <c:v>2013</c:v>
                  </c:pt>
                  <c:pt idx="29">
                    <c:v>2018</c:v>
                  </c:pt>
                  <c:pt idx="31">
                    <c:v>2013</c:v>
                  </c:pt>
                  <c:pt idx="32">
                    <c:v>2018</c:v>
                  </c:pt>
                  <c:pt idx="34">
                    <c:v>2013</c:v>
                  </c:pt>
                  <c:pt idx="35">
                    <c:v>2018</c:v>
                  </c:pt>
                  <c:pt idx="37">
                    <c:v>2013</c:v>
                  </c:pt>
                  <c:pt idx="38">
                    <c:v>2018</c:v>
                  </c:pt>
                  <c:pt idx="40">
                    <c:v>2013</c:v>
                  </c:pt>
                  <c:pt idx="41">
                    <c:v>2018</c:v>
                  </c:pt>
                  <c:pt idx="43">
                    <c:v>2013</c:v>
                  </c:pt>
                  <c:pt idx="44">
                    <c:v>2018</c:v>
                  </c:pt>
                  <c:pt idx="46">
                    <c:v>2013</c:v>
                  </c:pt>
                  <c:pt idx="47">
                    <c:v>2018</c:v>
                  </c:pt>
                  <c:pt idx="49">
                    <c:v>2013</c:v>
                  </c:pt>
                  <c:pt idx="50">
                    <c:v>2018</c:v>
                  </c:pt>
                  <c:pt idx="52">
                    <c:v>2013</c:v>
                  </c:pt>
                  <c:pt idx="53">
                    <c:v>2018</c:v>
                  </c:pt>
                  <c:pt idx="55">
                    <c:v>2013</c:v>
                  </c:pt>
                  <c:pt idx="56">
                    <c:v>2018</c:v>
                  </c:pt>
                  <c:pt idx="58">
                    <c:v>2013</c:v>
                  </c:pt>
                  <c:pt idx="59">
                    <c:v>2018</c:v>
                  </c:pt>
                  <c:pt idx="61">
                    <c:v>2013</c:v>
                  </c:pt>
                  <c:pt idx="62">
                    <c:v>2018</c:v>
                  </c:pt>
                  <c:pt idx="64">
                    <c:v>2013</c:v>
                  </c:pt>
                  <c:pt idx="65">
                    <c:v>2018</c:v>
                  </c:pt>
                  <c:pt idx="67">
                    <c:v>2013</c:v>
                  </c:pt>
                  <c:pt idx="68">
                    <c:v>2018</c:v>
                  </c:pt>
                  <c:pt idx="70">
                    <c:v>2013</c:v>
                  </c:pt>
                  <c:pt idx="71">
                    <c:v>2018</c:v>
                  </c:pt>
                  <c:pt idx="73">
                    <c:v>2013</c:v>
                  </c:pt>
                  <c:pt idx="74">
                    <c:v>2018</c:v>
                  </c:pt>
                  <c:pt idx="76">
                    <c:v>2013</c:v>
                  </c:pt>
                  <c:pt idx="77">
                    <c:v>2018</c:v>
                  </c:pt>
                  <c:pt idx="79">
                    <c:v>2013</c:v>
                  </c:pt>
                  <c:pt idx="80">
                    <c:v>2018</c:v>
                  </c:pt>
                  <c:pt idx="82">
                    <c:v>2013</c:v>
                  </c:pt>
                  <c:pt idx="83">
                    <c:v>2018</c:v>
                  </c:pt>
                  <c:pt idx="85">
                    <c:v>2013</c:v>
                  </c:pt>
                  <c:pt idx="86">
                    <c:v>2018</c:v>
                  </c:pt>
                  <c:pt idx="89">
                    <c:v>2013</c:v>
                  </c:pt>
                  <c:pt idx="90">
                    <c:v>2018</c:v>
                  </c:pt>
                  <c:pt idx="92">
                    <c:v>2013</c:v>
                  </c:pt>
                  <c:pt idx="93">
                    <c:v>2018</c:v>
                  </c:pt>
                </c:lvl>
                <c:lvl>
                  <c:pt idx="0">
                    <c:v>EU-28</c:v>
                  </c:pt>
                  <c:pt idx="4">
                    <c:v>BG</c:v>
                  </c:pt>
                  <c:pt idx="7">
                    <c:v>HR</c:v>
                  </c:pt>
                  <c:pt idx="10">
                    <c:v>LT</c:v>
                  </c:pt>
                  <c:pt idx="13">
                    <c:v>HU</c:v>
                  </c:pt>
                  <c:pt idx="16">
                    <c:v>PT</c:v>
                  </c:pt>
                  <c:pt idx="19">
                    <c:v>EL</c:v>
                  </c:pt>
                  <c:pt idx="22">
                    <c:v>LV</c:v>
                  </c:pt>
                  <c:pt idx="25">
                    <c:v>SK</c:v>
                  </c:pt>
                  <c:pt idx="28">
                    <c:v>EE</c:v>
                  </c:pt>
                  <c:pt idx="31">
                    <c:v>CY</c:v>
                  </c:pt>
                  <c:pt idx="34">
                    <c:v>CZ</c:v>
                  </c:pt>
                  <c:pt idx="37">
                    <c:v>SI</c:v>
                  </c:pt>
                  <c:pt idx="40">
                    <c:v>ES</c:v>
                  </c:pt>
                  <c:pt idx="43">
                    <c:v>IT</c:v>
                  </c:pt>
                  <c:pt idx="46">
                    <c:v>DE</c:v>
                  </c:pt>
                  <c:pt idx="49">
                    <c:v>RO</c:v>
                  </c:pt>
                  <c:pt idx="52">
                    <c:v>FR</c:v>
                  </c:pt>
                  <c:pt idx="55">
                    <c:v>DK</c:v>
                  </c:pt>
                  <c:pt idx="58">
                    <c:v>MT</c:v>
                  </c:pt>
                  <c:pt idx="61">
                    <c:v>UK (¹)</c:v>
                  </c:pt>
                  <c:pt idx="64">
                    <c:v>PL</c:v>
                  </c:pt>
                  <c:pt idx="67">
                    <c:v>LU</c:v>
                  </c:pt>
                  <c:pt idx="70">
                    <c:v>SE</c:v>
                  </c:pt>
                  <c:pt idx="73">
                    <c:v>AT</c:v>
                  </c:pt>
                  <c:pt idx="76">
                    <c:v>IE (¹)</c:v>
                  </c:pt>
                  <c:pt idx="79">
                    <c:v>BE</c:v>
                  </c:pt>
                  <c:pt idx="82">
                    <c:v>NL</c:v>
                  </c:pt>
                  <c:pt idx="85">
                    <c:v>FI</c:v>
                  </c:pt>
                  <c:pt idx="89">
                    <c:v>NO</c:v>
                  </c:pt>
                  <c:pt idx="92">
                    <c:v>CH</c:v>
                  </c:pt>
                </c:lvl>
              </c:multiLvlStrCache>
            </c:multiLvlStrRef>
          </c:cat>
          <c:val>
            <c:numRef>
              <c:f>'Figure 3'!$F$6:$F$99</c:f>
              <c:numCache>
                <c:formatCode>0.00%</c:formatCode>
                <c:ptCount val="94"/>
                <c:pt idx="0">
                  <c:v>0.21600000000000003</c:v>
                </c:pt>
                <c:pt idx="1">
                  <c:v>0.254</c:v>
                </c:pt>
                <c:pt idx="4">
                  <c:v>5.9000000000000004E-2</c:v>
                </c:pt>
                <c:pt idx="5">
                  <c:v>9.5000000000000001E-2</c:v>
                </c:pt>
                <c:pt idx="7">
                  <c:v>0.15</c:v>
                </c:pt>
                <c:pt idx="8">
                  <c:v>0.16500000000000001</c:v>
                </c:pt>
                <c:pt idx="10">
                  <c:v>0.188</c:v>
                </c:pt>
                <c:pt idx="11">
                  <c:v>0.17600000000000002</c:v>
                </c:pt>
                <c:pt idx="13">
                  <c:v>0.113</c:v>
                </c:pt>
                <c:pt idx="14">
                  <c:v>0.13100000000000001</c:v>
                </c:pt>
                <c:pt idx="16">
                  <c:v>0.13800000000000001</c:v>
                </c:pt>
                <c:pt idx="17">
                  <c:v>0.18600000000000003</c:v>
                </c:pt>
                <c:pt idx="19">
                  <c:v>0.128</c:v>
                </c:pt>
                <c:pt idx="20">
                  <c:v>0.13500000000000001</c:v>
                </c:pt>
                <c:pt idx="22">
                  <c:v>0.126</c:v>
                </c:pt>
                <c:pt idx="23">
                  <c:v>0.153</c:v>
                </c:pt>
                <c:pt idx="25">
                  <c:v>0.25</c:v>
                </c:pt>
                <c:pt idx="26">
                  <c:v>0.27500000000000002</c:v>
                </c:pt>
                <c:pt idx="28">
                  <c:v>0.13500000000000001</c:v>
                </c:pt>
                <c:pt idx="29">
                  <c:v>0.19399999999999998</c:v>
                </c:pt>
                <c:pt idx="31">
                  <c:v>0.14199999999999999</c:v>
                </c:pt>
                <c:pt idx="32">
                  <c:v>0.22399999999999998</c:v>
                </c:pt>
                <c:pt idx="34">
                  <c:v>0.21299999999999999</c:v>
                </c:pt>
                <c:pt idx="35">
                  <c:v>0.29499999999999998</c:v>
                </c:pt>
                <c:pt idx="37">
                  <c:v>0.20399999999999999</c:v>
                </c:pt>
                <c:pt idx="38">
                  <c:v>0.24600000000000002</c:v>
                </c:pt>
                <c:pt idx="40">
                  <c:v>0.184</c:v>
                </c:pt>
                <c:pt idx="41">
                  <c:v>0.24399999999999999</c:v>
                </c:pt>
                <c:pt idx="43">
                  <c:v>0.14199999999999999</c:v>
                </c:pt>
                <c:pt idx="44">
                  <c:v>0.18</c:v>
                </c:pt>
                <c:pt idx="46">
                  <c:v>0.25</c:v>
                </c:pt>
                <c:pt idx="47">
                  <c:v>0.28300000000000003</c:v>
                </c:pt>
                <c:pt idx="49">
                  <c:v>0.19699999999999998</c:v>
                </c:pt>
                <c:pt idx="50">
                  <c:v>0.247</c:v>
                </c:pt>
                <c:pt idx="52">
                  <c:v>0.161</c:v>
                </c:pt>
                <c:pt idx="53">
                  <c:v>0.183</c:v>
                </c:pt>
                <c:pt idx="55">
                  <c:v>0.42700000000000005</c:v>
                </c:pt>
                <c:pt idx="56">
                  <c:v>0.41299999999999998</c:v>
                </c:pt>
                <c:pt idx="58">
                  <c:v>0.21899999999999997</c:v>
                </c:pt>
                <c:pt idx="59">
                  <c:v>0.26600000000000001</c:v>
                </c:pt>
                <c:pt idx="61">
                  <c:v>0.27800000000000002</c:v>
                </c:pt>
                <c:pt idx="62">
                  <c:v>0.317</c:v>
                </c:pt>
                <c:pt idx="64">
                  <c:v>0.29399999999999998</c:v>
                </c:pt>
                <c:pt idx="65">
                  <c:v>0.35899999999999999</c:v>
                </c:pt>
                <c:pt idx="67">
                  <c:v>0.25700000000000001</c:v>
                </c:pt>
                <c:pt idx="68">
                  <c:v>0.26300000000000001</c:v>
                </c:pt>
                <c:pt idx="70">
                  <c:v>0.34399999999999997</c:v>
                </c:pt>
                <c:pt idx="71">
                  <c:v>0.35</c:v>
                </c:pt>
                <c:pt idx="73">
                  <c:v>0.379</c:v>
                </c:pt>
                <c:pt idx="74">
                  <c:v>0.39700000000000002</c:v>
                </c:pt>
                <c:pt idx="76">
                  <c:v>0.30599999999999999</c:v>
                </c:pt>
                <c:pt idx="77">
                  <c:v>0.43200000000000005</c:v>
                </c:pt>
                <c:pt idx="79">
                  <c:v>0.20899999999999999</c:v>
                </c:pt>
                <c:pt idx="80">
                  <c:v>0.21199999999999999</c:v>
                </c:pt>
                <c:pt idx="82">
                  <c:v>0.26100000000000001</c:v>
                </c:pt>
                <c:pt idx="83">
                  <c:v>0.23899999999999999</c:v>
                </c:pt>
                <c:pt idx="85">
                  <c:v>0.38600000000000001</c:v>
                </c:pt>
                <c:pt idx="86">
                  <c:v>0.41100000000000003</c:v>
                </c:pt>
                <c:pt idx="89">
                  <c:v>0.35600000000000004</c:v>
                </c:pt>
                <c:pt idx="90">
                  <c:v>0.39700000000000002</c:v>
                </c:pt>
                <c:pt idx="92">
                  <c:v>0.38500000000000001</c:v>
                </c:pt>
                <c:pt idx="93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20-40FF-A05C-BF64FBA91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26218376"/>
        <c:axId val="6262170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3'!$I$59</c15:sqref>
                        </c15:formulaRef>
                      </c:ext>
                    </c:extLst>
                    <c:strCache>
                      <c:ptCount val="1"/>
                      <c:pt idx="0">
                        <c:v>(1) Provisional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3'!$J$59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16D-4155-9594-3E5E275E29FC}"/>
                  </c:ext>
                </c:extLst>
              </c15:ser>
            </c15:filteredBarSeries>
          </c:ext>
        </c:extLst>
      </c:barChart>
      <c:catAx>
        <c:axId val="626218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t" anchorCtr="0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6217064"/>
        <c:crosses val="autoZero"/>
        <c:auto val="1"/>
        <c:lblAlgn val="ctr"/>
        <c:lblOffset val="100"/>
        <c:tickMarkSkip val="1"/>
        <c:noMultiLvlLbl val="0"/>
      </c:catAx>
      <c:valAx>
        <c:axId val="6262170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6218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348787401574806"/>
          <c:y val="0.85466901237169657"/>
          <c:w val="0.21873658792650921"/>
          <c:h val="2.42666973036829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age group, EU-28, 2018</a:t>
            </a:r>
          </a:p>
          <a:p>
            <a:pPr algn="l">
              <a:defRPr sz="1800" b="1"/>
            </a:pPr>
            <a:r>
              <a:rPr lang="en-US" sz="1600" b="0"/>
              <a:t>(left axis: % population by satisfaction level; right axis: mean rating)  </a:t>
            </a:r>
          </a:p>
        </c:rich>
      </c:tx>
      <c:layout>
        <c:manualLayout>
          <c:xMode val="edge"/>
          <c:yMode val="edge"/>
          <c:x val="5.2956748305540424E-3"/>
          <c:y val="7.13283386647054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563105784023617E-2"/>
          <c:y val="0.10538762037710225"/>
          <c:w val="0.97087378843195282"/>
          <c:h val="0.76433173069227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  '!$D$3</c:f>
              <c:strCache>
                <c:ptCount val="1"/>
                <c:pt idx="0">
                  <c:v>Low (0-5)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  '!$C$4:$C$9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65-74</c:v>
                </c:pt>
                <c:pt idx="5">
                  <c:v>75+</c:v>
                </c:pt>
              </c:strCache>
            </c:strRef>
          </c:cat>
          <c:val>
            <c:numRef>
              <c:f>'Figure 4  '!$D$4:$D$9</c:f>
              <c:numCache>
                <c:formatCode>0.00%</c:formatCode>
                <c:ptCount val="6"/>
                <c:pt idx="0">
                  <c:v>9.5000000000000001E-2</c:v>
                </c:pt>
                <c:pt idx="1">
                  <c:v>0.115</c:v>
                </c:pt>
                <c:pt idx="2">
                  <c:v>0.14199999999999999</c:v>
                </c:pt>
                <c:pt idx="3">
                  <c:v>0.188</c:v>
                </c:pt>
                <c:pt idx="4">
                  <c:v>0.184</c:v>
                </c:pt>
                <c:pt idx="5">
                  <c:v>0.23399999999999999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4-40C4-B492-FE60C376FC22}"/>
            </c:ext>
          </c:extLst>
        </c:ser>
        <c:ser>
          <c:idx val="1"/>
          <c:order val="1"/>
          <c:tx>
            <c:strRef>
              <c:f>'Figure 4  '!$E$3</c:f>
              <c:strCache>
                <c:ptCount val="1"/>
                <c:pt idx="0">
                  <c:v>Medium (6-8)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4  '!$C$4:$C$9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65-74</c:v>
                </c:pt>
                <c:pt idx="5">
                  <c:v>75+</c:v>
                </c:pt>
              </c:strCache>
            </c:strRef>
          </c:cat>
          <c:val>
            <c:numRef>
              <c:f>'Figure 4  '!$E$4:$E$9</c:f>
              <c:numCache>
                <c:formatCode>0.00%</c:formatCode>
                <c:ptCount val="6"/>
                <c:pt idx="0">
                  <c:v>0.56100000000000005</c:v>
                </c:pt>
                <c:pt idx="1">
                  <c:v>0.58399999999999996</c:v>
                </c:pt>
                <c:pt idx="2">
                  <c:v>0.60299999999999998</c:v>
                </c:pt>
                <c:pt idx="3">
                  <c:v>0.58799999999999997</c:v>
                </c:pt>
                <c:pt idx="4">
                  <c:v>0.57600000000000007</c:v>
                </c:pt>
                <c:pt idx="5">
                  <c:v>0.56399999999999995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4-40C4-B492-FE60C376FC22}"/>
            </c:ext>
          </c:extLst>
        </c:ser>
        <c:ser>
          <c:idx val="2"/>
          <c:order val="2"/>
          <c:tx>
            <c:strRef>
              <c:f>'Figure 4  '!$F$3</c:f>
              <c:strCache>
                <c:ptCount val="1"/>
                <c:pt idx="0">
                  <c:v>High (9-10)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4  '!$C$4:$C$9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65-74</c:v>
                </c:pt>
                <c:pt idx="5">
                  <c:v>75+</c:v>
                </c:pt>
              </c:strCache>
            </c:strRef>
          </c:cat>
          <c:val>
            <c:numRef>
              <c:f>'Figure 4  '!$F$4:$F$9</c:f>
              <c:numCache>
                <c:formatCode>0.00%</c:formatCode>
                <c:ptCount val="6"/>
                <c:pt idx="0">
                  <c:v>0.34499999999999997</c:v>
                </c:pt>
                <c:pt idx="1">
                  <c:v>0.30099999999999999</c:v>
                </c:pt>
                <c:pt idx="2">
                  <c:v>0.255</c:v>
                </c:pt>
                <c:pt idx="3">
                  <c:v>0.22399999999999998</c:v>
                </c:pt>
                <c:pt idx="4">
                  <c:v>0.23899999999999999</c:v>
                </c:pt>
                <c:pt idx="5">
                  <c:v>0.20300000000000001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74-40C4-B492-FE60C376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29811376"/>
        <c:axId val="529807112"/>
      </c:barChart>
      <c:lineChart>
        <c:grouping val="standard"/>
        <c:varyColors val="0"/>
        <c:ser>
          <c:idx val="3"/>
          <c:order val="3"/>
          <c:tx>
            <c:strRef>
              <c:f>'Figure 4  '!$G$3</c:f>
              <c:strCache>
                <c:ptCount val="1"/>
                <c:pt idx="0">
                  <c:v>Mean rating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'Figure 4  '!$B$4:$C$9</c:f>
              <c:multiLvlStrCache>
                <c:ptCount val="6"/>
                <c:lvl>
                  <c:pt idx="0">
                    <c:v>16-24</c:v>
                  </c:pt>
                  <c:pt idx="1">
                    <c:v>25-34</c:v>
                  </c:pt>
                  <c:pt idx="2">
                    <c:v>35-49</c:v>
                  </c:pt>
                  <c:pt idx="3">
                    <c:v>50-64</c:v>
                  </c:pt>
                  <c:pt idx="4">
                    <c:v>65-74</c:v>
                  </c:pt>
                  <c:pt idx="5">
                    <c:v>75+</c:v>
                  </c:pt>
                </c:lvl>
                <c:lvl>
                  <c:pt idx="0">
                    <c:v>EU-28</c:v>
                  </c:pt>
                </c:lvl>
              </c:multiLvlStrCache>
            </c:multiLvlStrRef>
          </c:cat>
          <c:val>
            <c:numRef>
              <c:f>'Figure 4  '!$G$4:$G$9</c:f>
              <c:numCache>
                <c:formatCode>General</c:formatCode>
                <c:ptCount val="6"/>
                <c:pt idx="0">
                  <c:v>7.8</c:v>
                </c:pt>
                <c:pt idx="1">
                  <c:v>7.6</c:v>
                </c:pt>
                <c:pt idx="2">
                  <c:v>7.4</c:v>
                </c:pt>
                <c:pt idx="3">
                  <c:v>7.2</c:v>
                </c:pt>
                <c:pt idx="4">
                  <c:v>7.2</c:v>
                </c:pt>
                <c:pt idx="5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74-40C4-B492-FE60C376F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03616"/>
        <c:axId val="526199024"/>
      </c:lineChart>
      <c:catAx>
        <c:axId val="5298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9807112"/>
        <c:crosses val="autoZero"/>
        <c:auto val="1"/>
        <c:lblAlgn val="ctr"/>
        <c:lblOffset val="100"/>
        <c:tickMarkSkip val="1"/>
        <c:noMultiLvlLbl val="0"/>
      </c:catAx>
      <c:valAx>
        <c:axId val="52980711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9811376"/>
        <c:crosses val="autoZero"/>
        <c:crossBetween val="between"/>
      </c:valAx>
      <c:valAx>
        <c:axId val="526199024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6203616"/>
        <c:crosses val="max"/>
        <c:crossBetween val="between"/>
      </c:valAx>
      <c:catAx>
        <c:axId val="52620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19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675555496712"/>
          <c:y val="0.88933461506612088"/>
          <c:w val="0.51604058178840562"/>
          <c:h val="2.496339768111369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educational attainment, EU-28, 2018</a:t>
            </a:r>
          </a:p>
          <a:p>
            <a:pPr algn="l">
              <a:defRPr sz="1800" b="1"/>
            </a:pPr>
            <a:r>
              <a:rPr lang="en-US" sz="1600" b="0"/>
              <a:t>(left axis % of population</a:t>
            </a:r>
            <a:r>
              <a:rPr lang="en-US" sz="1600" b="0" baseline="0"/>
              <a:t> by satisfaction level</a:t>
            </a:r>
            <a:r>
              <a:rPr lang="en-US" sz="1600" b="0"/>
              <a:t>, right axis: mean rating) </a:t>
            </a:r>
          </a:p>
        </c:rich>
      </c:tx>
      <c:layout>
        <c:manualLayout>
          <c:xMode val="edge"/>
          <c:yMode val="edge"/>
          <c:x val="5.3333333333333332E-3"/>
          <c:y val="7.516226096958429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673490813648295E-2"/>
          <c:y val="0.159391043647228"/>
          <c:w val="0.85802693637146343"/>
          <c:h val="0.58460022411096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5'!$D$4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5'!$C$5:$C$7</c:f>
              <c:strCache>
                <c:ptCount val="3"/>
                <c:pt idx="0">
                  <c:v>Less than primary, primary and lower secondary education (ISCED levels 0-2)</c:v>
                </c:pt>
                <c:pt idx="1">
                  <c:v>Upper secondary and post-secondary non-tertiary education (ISCED levels 3 and 4)</c:v>
                </c:pt>
                <c:pt idx="2">
                  <c:v>Tertiary education (ISCED levels 5-8)</c:v>
                </c:pt>
              </c:strCache>
            </c:strRef>
          </c:cat>
          <c:val>
            <c:numRef>
              <c:f>'Figure 5'!$D$5:$D$7</c:f>
              <c:numCache>
                <c:formatCode>0.00%</c:formatCode>
                <c:ptCount val="3"/>
                <c:pt idx="0">
                  <c:v>0.24</c:v>
                </c:pt>
                <c:pt idx="1">
                  <c:v>0.156</c:v>
                </c:pt>
                <c:pt idx="2">
                  <c:v>8.5999999999999993E-2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C2B-B959-1C7B93354333}"/>
            </c:ext>
          </c:extLst>
        </c:ser>
        <c:ser>
          <c:idx val="1"/>
          <c:order val="1"/>
          <c:tx>
            <c:strRef>
              <c:f>'Figure 5'!$E$4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5'!$C$5:$C$7</c:f>
              <c:strCache>
                <c:ptCount val="3"/>
                <c:pt idx="0">
                  <c:v>Less than primary, primary and lower secondary education (ISCED levels 0-2)</c:v>
                </c:pt>
                <c:pt idx="1">
                  <c:v>Upper secondary and post-secondary non-tertiary education (ISCED levels 3 and 4)</c:v>
                </c:pt>
                <c:pt idx="2">
                  <c:v>Tertiary education (ISCED levels 5-8)</c:v>
                </c:pt>
              </c:strCache>
            </c:strRef>
          </c:cat>
          <c:val>
            <c:numRef>
              <c:f>'Figure 5'!$E$5:$E$7</c:f>
              <c:numCache>
                <c:formatCode>0.00%</c:formatCode>
                <c:ptCount val="3"/>
                <c:pt idx="0">
                  <c:v>0.56200000000000006</c:v>
                </c:pt>
                <c:pt idx="1">
                  <c:v>0.58799999999999997</c:v>
                </c:pt>
                <c:pt idx="2">
                  <c:v>0.60299999999999998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B-4C2B-B959-1C7B93354333}"/>
            </c:ext>
          </c:extLst>
        </c:ser>
        <c:ser>
          <c:idx val="2"/>
          <c:order val="2"/>
          <c:tx>
            <c:strRef>
              <c:f>'Figure 5'!$F$4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5'!$C$5:$C$7</c:f>
              <c:strCache>
                <c:ptCount val="3"/>
                <c:pt idx="0">
                  <c:v>Less than primary, primary and lower secondary education (ISCED levels 0-2)</c:v>
                </c:pt>
                <c:pt idx="1">
                  <c:v>Upper secondary and post-secondary non-tertiary education (ISCED levels 3 and 4)</c:v>
                </c:pt>
                <c:pt idx="2">
                  <c:v>Tertiary education (ISCED levels 5-8)</c:v>
                </c:pt>
              </c:strCache>
            </c:strRef>
          </c:cat>
          <c:val>
            <c:numRef>
              <c:f>'Figure 5'!$F$5:$F$7</c:f>
              <c:numCache>
                <c:formatCode>0.00%</c:formatCode>
                <c:ptCount val="3"/>
                <c:pt idx="0">
                  <c:v>0.19800000000000001</c:v>
                </c:pt>
                <c:pt idx="1">
                  <c:v>0.25700000000000001</c:v>
                </c:pt>
                <c:pt idx="2">
                  <c:v>0.311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B-4C2B-B959-1C7B9335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80690648"/>
        <c:axId val="580693272"/>
      </c:barChart>
      <c:lineChart>
        <c:grouping val="standard"/>
        <c:varyColors val="0"/>
        <c:ser>
          <c:idx val="3"/>
          <c:order val="3"/>
          <c:tx>
            <c:strRef>
              <c:f>'Figure 5'!$G$4</c:f>
              <c:strCache>
                <c:ptCount val="1"/>
                <c:pt idx="0">
                  <c:v>Mean rating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'Figure 5'!$B$5:$C$7</c:f>
              <c:multiLvlStrCache>
                <c:ptCount val="3"/>
                <c:lvl>
                  <c:pt idx="0">
                    <c:v>Less than primary, primary and lower secondary education (ISCED levels 0-2)</c:v>
                  </c:pt>
                  <c:pt idx="1">
                    <c:v>Upper secondary and post-secondary non-tertiary education (ISCED levels 3 and 4)</c:v>
                  </c:pt>
                  <c:pt idx="2">
                    <c:v>Tertiary education (ISCED levels 5-8)</c:v>
                  </c:pt>
                </c:lvl>
                <c:lvl>
                  <c:pt idx="0">
                    <c:v>EU-28</c:v>
                  </c:pt>
                </c:lvl>
              </c:multiLvlStrCache>
            </c:multiLvlStrRef>
          </c:cat>
          <c:val>
            <c:numRef>
              <c:f>'Figure 5'!$G$5:$G$7</c:f>
              <c:numCache>
                <c:formatCode>General</c:formatCode>
                <c:ptCount val="3"/>
                <c:pt idx="0">
                  <c:v>6.9</c:v>
                </c:pt>
                <c:pt idx="1">
                  <c:v>7.4</c:v>
                </c:pt>
                <c:pt idx="2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B-4C2B-B959-1C7B9335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815464"/>
        <c:axId val="582813496"/>
      </c:lineChart>
      <c:catAx>
        <c:axId val="58069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0693272"/>
        <c:crosses val="autoZero"/>
        <c:auto val="1"/>
        <c:lblAlgn val="ctr"/>
        <c:lblOffset val="100"/>
        <c:tickMarkSkip val="1"/>
        <c:noMultiLvlLbl val="0"/>
      </c:catAx>
      <c:valAx>
        <c:axId val="58069327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0690648"/>
        <c:crosses val="autoZero"/>
        <c:crossBetween val="between"/>
      </c:valAx>
      <c:valAx>
        <c:axId val="582813496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82815464"/>
        <c:crosses val="max"/>
        <c:crossBetween val="between"/>
      </c:valAx>
      <c:catAx>
        <c:axId val="582815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2813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58594235976724"/>
          <c:y val="0.81953373308908595"/>
          <c:w val="0.34164829396325458"/>
          <c:h val="2.99700638183819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Overall life satisfaction by gender, EU-28,</a:t>
            </a:r>
            <a:r>
              <a:rPr lang="en-US" baseline="0"/>
              <a:t> </a:t>
            </a:r>
            <a:r>
              <a:rPr lang="en-US"/>
              <a:t>2018</a:t>
            </a:r>
          </a:p>
          <a:p>
            <a:pPr algn="l">
              <a:defRPr sz="1800" b="1"/>
            </a:pPr>
            <a:r>
              <a:rPr lang="en-US" sz="1600" b="0"/>
              <a:t>(left axis: % of population</a:t>
            </a:r>
            <a:r>
              <a:rPr lang="en-US" sz="1600" b="0" baseline="0"/>
              <a:t> </a:t>
            </a:r>
            <a:r>
              <a:rPr lang="en-US" sz="1600" b="0"/>
              <a:t>by satisfaction level; right axis: mean rating)</a:t>
            </a:r>
          </a:p>
        </c:rich>
      </c:tx>
      <c:layout>
        <c:manualLayout>
          <c:xMode val="edge"/>
          <c:yMode val="edge"/>
          <c:x val="3.7327583277711323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7591557379041392E-2"/>
          <c:y val="0.11594929378540327"/>
          <c:w val="0.88225455660206498"/>
          <c:h val="0.714703976825706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6'!$C$2</c:f>
              <c:strCache>
                <c:ptCount val="1"/>
                <c:pt idx="0">
                  <c:v>Low (0–5)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6'!$B$3:$B$4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'Figure 6'!$C$3:$C$4</c:f>
              <c:numCache>
                <c:formatCode>0.00%</c:formatCode>
                <c:ptCount val="2"/>
                <c:pt idx="0">
                  <c:v>0.153</c:v>
                </c:pt>
                <c:pt idx="1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A-437C-B61F-478571F75D6E}"/>
            </c:ext>
          </c:extLst>
        </c:ser>
        <c:ser>
          <c:idx val="1"/>
          <c:order val="1"/>
          <c:tx>
            <c:strRef>
              <c:f>'Figure 6'!$D$2</c:f>
              <c:strCache>
                <c:ptCount val="1"/>
                <c:pt idx="0">
                  <c:v>Medium (6–8)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6'!$B$3:$B$4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'Figure 6'!$D$3:$D$4</c:f>
              <c:numCache>
                <c:formatCode>0.00%</c:formatCode>
                <c:ptCount val="2"/>
                <c:pt idx="0">
                  <c:v>0.59099999999999997</c:v>
                </c:pt>
                <c:pt idx="1">
                  <c:v>0.57899999999999996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9A-437C-B61F-478571F75D6E}"/>
            </c:ext>
          </c:extLst>
        </c:ser>
        <c:ser>
          <c:idx val="2"/>
          <c:order val="2"/>
          <c:tx>
            <c:strRef>
              <c:f>'Figure 6'!$E$2</c:f>
              <c:strCache>
                <c:ptCount val="1"/>
                <c:pt idx="0">
                  <c:v>High (9–10)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6'!$B$3:$B$4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'Figure 6'!$E$3:$E$4</c:f>
              <c:numCache>
                <c:formatCode>0.00%</c:formatCode>
                <c:ptCount val="2"/>
                <c:pt idx="0">
                  <c:v>0.25600000000000001</c:v>
                </c:pt>
                <c:pt idx="1">
                  <c:v>0.252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9A-437C-B61F-478571F7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92444664"/>
        <c:axId val="592441384"/>
      </c:barChart>
      <c:lineChart>
        <c:grouping val="stacked"/>
        <c:varyColors val="0"/>
        <c:ser>
          <c:idx val="3"/>
          <c:order val="3"/>
          <c:tx>
            <c:strRef>
              <c:f>'Figure 6'!$F$2</c:f>
              <c:strCache>
                <c:ptCount val="1"/>
                <c:pt idx="0">
                  <c:v>Mean rating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6'!$B$3:$B$4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'Figure 6'!$F$3:$F$4</c:f>
              <c:numCache>
                <c:formatCode>0.0</c:formatCode>
                <c:ptCount val="2"/>
                <c:pt idx="0">
                  <c:v>7.4</c:v>
                </c:pt>
                <c:pt idx="1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A-437C-B61F-478571F7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395728"/>
        <c:axId val="722395400"/>
      </c:lineChart>
      <c:catAx>
        <c:axId val="59244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2441384"/>
        <c:crosses val="autoZero"/>
        <c:auto val="1"/>
        <c:lblAlgn val="ctr"/>
        <c:lblOffset val="100"/>
        <c:tickMarkSkip val="1"/>
        <c:noMultiLvlLbl val="0"/>
      </c:catAx>
      <c:valAx>
        <c:axId val="5924413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92444664"/>
        <c:crosses val="autoZero"/>
        <c:crossBetween val="between"/>
        <c:minorUnit val="2.0000000000000004E-2"/>
      </c:valAx>
      <c:valAx>
        <c:axId val="722395400"/>
        <c:scaling>
          <c:orientation val="minMax"/>
          <c:max val="1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22395728"/>
        <c:crosses val="max"/>
        <c:crossBetween val="between"/>
      </c:valAx>
      <c:catAx>
        <c:axId val="72239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2395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28776902887139"/>
          <c:y val="0.88609002701352901"/>
          <c:w val="0.48121308494363663"/>
          <c:h val="3.25507929671756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 mean rating by country 2013 and 2018</a:t>
            </a:r>
          </a:p>
        </c:rich>
      </c:tx>
      <c:layout>
        <c:manualLayout>
          <c:xMode val="edge"/>
          <c:yMode val="edge"/>
          <c:x val="5.3333333333333332E-3"/>
          <c:y val="7.96173602205965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8767904011998491E-2"/>
          <c:y val="8.9636755082720079E-2"/>
          <c:w val="0.95370828646419192"/>
          <c:h val="0.61928732973570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7'!$E$5:$E$37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Latvia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Slovakia </c:v>
                </c:pt>
                <c:pt idx="11">
                  <c:v>Cyprus</c:v>
                </c:pt>
                <c:pt idx="12">
                  <c:v>Spain</c:v>
                </c:pt>
                <c:pt idx="13">
                  <c:v>Poland</c:v>
                </c:pt>
                <c:pt idx="14">
                  <c:v>Slovenia</c:v>
                </c:pt>
                <c:pt idx="15">
                  <c:v>Italy</c:v>
                </c:pt>
                <c:pt idx="16">
                  <c:v>France</c:v>
                </c:pt>
                <c:pt idx="17">
                  <c:v>Romania</c:v>
                </c:pt>
                <c:pt idx="18">
                  <c:v>Czechia</c:v>
                </c:pt>
                <c:pt idx="19">
                  <c:v>Germany</c:v>
                </c:pt>
                <c:pt idx="20">
                  <c:v>Malta</c:v>
                </c:pt>
                <c:pt idx="21">
                  <c:v>Luxembourg</c:v>
                </c:pt>
                <c:pt idx="22">
                  <c:v>Belgium</c:v>
                </c:pt>
                <c:pt idx="23">
                  <c:v>Ireland (¹)</c:v>
                </c:pt>
                <c:pt idx="24">
                  <c:v>United Kingdom (¹)</c:v>
                </c:pt>
                <c:pt idx="25">
                  <c:v>Austria</c:v>
                </c:pt>
                <c:pt idx="26">
                  <c:v>Netherlands</c:v>
                </c:pt>
                <c:pt idx="27">
                  <c:v>Denmark</c:v>
                </c:pt>
                <c:pt idx="28">
                  <c:v>Finland</c:v>
                </c:pt>
                <c:pt idx="29">
                  <c:v>Sweden 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7'!$F$5:$F$37</c:f>
              <c:numCache>
                <c:formatCode>General</c:formatCode>
                <c:ptCount val="33"/>
                <c:pt idx="0">
                  <c:v>6</c:v>
                </c:pt>
                <c:pt idx="2">
                  <c:v>3.7</c:v>
                </c:pt>
                <c:pt idx="3">
                  <c:v>4.3</c:v>
                </c:pt>
                <c:pt idx="4">
                  <c:v>4.5999999999999996</c:v>
                </c:pt>
                <c:pt idx="5">
                  <c:v>5.8</c:v>
                </c:pt>
                <c:pt idx="6">
                  <c:v>5</c:v>
                </c:pt>
                <c:pt idx="7">
                  <c:v>4.5</c:v>
                </c:pt>
                <c:pt idx="8">
                  <c:v>5.2</c:v>
                </c:pt>
                <c:pt idx="9">
                  <c:v>5.4</c:v>
                </c:pt>
                <c:pt idx="10">
                  <c:v>5.5</c:v>
                </c:pt>
                <c:pt idx="11">
                  <c:v>5.2</c:v>
                </c:pt>
                <c:pt idx="12">
                  <c:v>5.8</c:v>
                </c:pt>
                <c:pt idx="13">
                  <c:v>5.7</c:v>
                </c:pt>
                <c:pt idx="14">
                  <c:v>5.6</c:v>
                </c:pt>
                <c:pt idx="15">
                  <c:v>5.7</c:v>
                </c:pt>
                <c:pt idx="16">
                  <c:v>6.4</c:v>
                </c:pt>
                <c:pt idx="17">
                  <c:v>6.2</c:v>
                </c:pt>
                <c:pt idx="18">
                  <c:v>6</c:v>
                </c:pt>
                <c:pt idx="19">
                  <c:v>6.3</c:v>
                </c:pt>
                <c:pt idx="20">
                  <c:v>6</c:v>
                </c:pt>
                <c:pt idx="21">
                  <c:v>6.9</c:v>
                </c:pt>
                <c:pt idx="22">
                  <c:v>6.9</c:v>
                </c:pt>
                <c:pt idx="23">
                  <c:v>5.5</c:v>
                </c:pt>
                <c:pt idx="24">
                  <c:v>6.2</c:v>
                </c:pt>
                <c:pt idx="25">
                  <c:v>7</c:v>
                </c:pt>
                <c:pt idx="26">
                  <c:v>7.4</c:v>
                </c:pt>
                <c:pt idx="27">
                  <c:v>7.6</c:v>
                </c:pt>
                <c:pt idx="28">
                  <c:v>7.5</c:v>
                </c:pt>
                <c:pt idx="29" formatCode="0.0">
                  <c:v>7.5</c:v>
                </c:pt>
                <c:pt idx="31" formatCode="0.0">
                  <c:v>7.5</c:v>
                </c:pt>
                <c:pt idx="32" formatCode="0.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C-4445-861C-923786F0C884}"/>
            </c:ext>
          </c:extLst>
        </c:ser>
        <c:ser>
          <c:idx val="1"/>
          <c:order val="1"/>
          <c:tx>
            <c:strRef>
              <c:f>'Figure 7'!$G$4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7'!$E$5:$E$37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Lithuania</c:v>
                </c:pt>
                <c:pt idx="6">
                  <c:v>Latvia</c:v>
                </c:pt>
                <c:pt idx="7">
                  <c:v>Portugal</c:v>
                </c:pt>
                <c:pt idx="8">
                  <c:v>Hungary</c:v>
                </c:pt>
                <c:pt idx="9">
                  <c:v>Estonia</c:v>
                </c:pt>
                <c:pt idx="10">
                  <c:v>Slovakia </c:v>
                </c:pt>
                <c:pt idx="11">
                  <c:v>Cyprus</c:v>
                </c:pt>
                <c:pt idx="12">
                  <c:v>Spain</c:v>
                </c:pt>
                <c:pt idx="13">
                  <c:v>Poland</c:v>
                </c:pt>
                <c:pt idx="14">
                  <c:v>Slovenia</c:v>
                </c:pt>
                <c:pt idx="15">
                  <c:v>Italy</c:v>
                </c:pt>
                <c:pt idx="16">
                  <c:v>France</c:v>
                </c:pt>
                <c:pt idx="17">
                  <c:v>Romania</c:v>
                </c:pt>
                <c:pt idx="18">
                  <c:v>Czechia</c:v>
                </c:pt>
                <c:pt idx="19">
                  <c:v>Germany</c:v>
                </c:pt>
                <c:pt idx="20">
                  <c:v>Malta</c:v>
                </c:pt>
                <c:pt idx="21">
                  <c:v>Luxembourg</c:v>
                </c:pt>
                <c:pt idx="22">
                  <c:v>Belgium</c:v>
                </c:pt>
                <c:pt idx="23">
                  <c:v>Ireland (¹)</c:v>
                </c:pt>
                <c:pt idx="24">
                  <c:v>United Kingdom (¹)</c:v>
                </c:pt>
                <c:pt idx="25">
                  <c:v>Austria</c:v>
                </c:pt>
                <c:pt idx="26">
                  <c:v>Netherlands</c:v>
                </c:pt>
                <c:pt idx="27">
                  <c:v>Denmark</c:v>
                </c:pt>
                <c:pt idx="28">
                  <c:v>Finland</c:v>
                </c:pt>
                <c:pt idx="29">
                  <c:v>Sweden 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f>'Figure 7'!$G$5:$G$37</c:f>
              <c:numCache>
                <c:formatCode>General</c:formatCode>
                <c:ptCount val="33"/>
                <c:pt idx="0">
                  <c:v>6.6</c:v>
                </c:pt>
                <c:pt idx="2">
                  <c:v>4.3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5.4</c:v>
                </c:pt>
                <c:pt idx="7">
                  <c:v>5.4</c:v>
                </c:pt>
                <c:pt idx="8">
                  <c:v>5.5</c:v>
                </c:pt>
                <c:pt idx="9">
                  <c:v>5.9</c:v>
                </c:pt>
                <c:pt idx="10" formatCode="0.0">
                  <c:v>6</c:v>
                </c:pt>
                <c:pt idx="11">
                  <c:v>6.1</c:v>
                </c:pt>
                <c:pt idx="12">
                  <c:v>6.3</c:v>
                </c:pt>
                <c:pt idx="13">
                  <c:v>6.3</c:v>
                </c:pt>
                <c:pt idx="14">
                  <c:v>6.3</c:v>
                </c:pt>
                <c:pt idx="15">
                  <c:v>6.4</c:v>
                </c:pt>
                <c:pt idx="16">
                  <c:v>6.6</c:v>
                </c:pt>
                <c:pt idx="17">
                  <c:v>6.6</c:v>
                </c:pt>
                <c:pt idx="18">
                  <c:v>6.7</c:v>
                </c:pt>
                <c:pt idx="19">
                  <c:v>6.8</c:v>
                </c:pt>
                <c:pt idx="20">
                  <c:v>6.8</c:v>
                </c:pt>
                <c:pt idx="21">
                  <c:v>6.9</c:v>
                </c:pt>
                <c:pt idx="22">
                  <c:v>7</c:v>
                </c:pt>
                <c:pt idx="23">
                  <c:v>7.1</c:v>
                </c:pt>
                <c:pt idx="24">
                  <c:v>7.1</c:v>
                </c:pt>
                <c:pt idx="25">
                  <c:v>7.3</c:v>
                </c:pt>
                <c:pt idx="26">
                  <c:v>7.4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1">
                  <c:v>7.6</c:v>
                </c:pt>
                <c:pt idx="3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C-4445-861C-923786F0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547200"/>
        <c:axId val="65754195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7'!$N$55</c15:sqref>
                        </c15:formulaRef>
                      </c:ext>
                    </c:extLst>
                    <c:strCache>
                      <c:ptCount val="1"/>
                      <c:pt idx="0">
                        <c:v>(1) Provisional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7'!$O$55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8C-4FD6-8A0C-DC96C4E37BD9}"/>
                  </c:ext>
                </c:extLst>
              </c15:ser>
            </c15:filteredBarSeries>
          </c:ext>
        </c:extLst>
      </c:barChart>
      <c:catAx>
        <c:axId val="6575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7541952"/>
        <c:crosses val="autoZero"/>
        <c:auto val="1"/>
        <c:lblAlgn val="ctr"/>
        <c:lblOffset val="100"/>
        <c:tickMarkSkip val="1"/>
        <c:noMultiLvlLbl val="0"/>
      </c:catAx>
      <c:valAx>
        <c:axId val="657541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5754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31026113317152"/>
          <c:y val="0.84195490804820383"/>
          <c:w val="0.14171512935883016"/>
          <c:h val="2.73794829123392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financial situation by country, 2018</a:t>
            </a:r>
          </a:p>
          <a:p>
            <a:pPr algn="l">
              <a:defRPr sz="1800" b="1"/>
            </a:pPr>
            <a:r>
              <a:rPr lang="en-US" sz="1600" b="0"/>
              <a:t>(% of the population by satisfaction level) </a:t>
            </a:r>
          </a:p>
        </c:rich>
      </c:tx>
      <c:layout>
        <c:manualLayout>
          <c:xMode val="edge"/>
          <c:yMode val="edge"/>
          <c:x val="5.3582230529108706E-3"/>
          <c:y val="7.10739909626902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735113395504894E-2"/>
          <c:y val="0.10501182164737478"/>
          <c:w val="0.97052977320899025"/>
          <c:h val="0.754362830765132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8'!$J$3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8'!$I$4:$I$36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Latvia</c:v>
                </c:pt>
                <c:pt idx="6">
                  <c:v>Lithuania</c:v>
                </c:pt>
                <c:pt idx="7">
                  <c:v>Portugal </c:v>
                </c:pt>
                <c:pt idx="8">
                  <c:v>Hungary</c:v>
                </c:pt>
                <c:pt idx="9">
                  <c:v>Estonia</c:v>
                </c:pt>
                <c:pt idx="10">
                  <c:v>Slovakia</c:v>
                </c:pt>
                <c:pt idx="11">
                  <c:v>Cyprus</c:v>
                </c:pt>
                <c:pt idx="12">
                  <c:v>Poland</c:v>
                </c:pt>
                <c:pt idx="13">
                  <c:v>Slovenia</c:v>
                </c:pt>
                <c:pt idx="14">
                  <c:v>Spain</c:v>
                </c:pt>
                <c:pt idx="15">
                  <c:v>Czechia</c:v>
                </c:pt>
                <c:pt idx="16">
                  <c:v>Germany</c:v>
                </c:pt>
                <c:pt idx="17">
                  <c:v>Italy</c:v>
                </c:pt>
                <c:pt idx="18">
                  <c:v>France</c:v>
                </c:pt>
                <c:pt idx="19">
                  <c:v>Romania</c:v>
                </c:pt>
                <c:pt idx="20">
                  <c:v>Malta</c:v>
                </c:pt>
                <c:pt idx="21">
                  <c:v>Ireland (¹)</c:v>
                </c:pt>
                <c:pt idx="22">
                  <c:v>Luxembourg</c:v>
                </c:pt>
                <c:pt idx="23">
                  <c:v>United Kingdom (¹)</c:v>
                </c:pt>
                <c:pt idx="24">
                  <c:v>Austria</c:v>
                </c:pt>
                <c:pt idx="25">
                  <c:v>Belgium</c:v>
                </c:pt>
                <c:pt idx="26">
                  <c:v>Denmark</c:v>
                </c:pt>
                <c:pt idx="27">
                  <c:v>Sweden</c:v>
                </c:pt>
                <c:pt idx="28">
                  <c:v>Netherlands</c:v>
                </c:pt>
                <c:pt idx="29">
                  <c:v>Finland</c:v>
                </c:pt>
                <c:pt idx="31">
                  <c:v>Norway</c:v>
                </c:pt>
                <c:pt idx="32">
                  <c:v>Switzeland </c:v>
                </c:pt>
              </c:strCache>
            </c:strRef>
          </c:cat>
          <c:val>
            <c:numRef>
              <c:f>'Figure 8'!$J$4:$J$36</c:f>
              <c:numCache>
                <c:formatCode>0.00</c:formatCode>
                <c:ptCount val="33"/>
                <c:pt idx="0" formatCode="0.00%">
                  <c:v>0.28800000000000003</c:v>
                </c:pt>
                <c:pt idx="2" formatCode="0.00%">
                  <c:v>0.70599999999999996</c:v>
                </c:pt>
                <c:pt idx="3" formatCode="0.00%">
                  <c:v>0.55399999999999994</c:v>
                </c:pt>
                <c:pt idx="4" formatCode="0.00%">
                  <c:v>0.53400000000000003</c:v>
                </c:pt>
                <c:pt idx="5" formatCode="0.00%">
                  <c:v>0.52100000000000002</c:v>
                </c:pt>
                <c:pt idx="6" formatCode="0.00%">
                  <c:v>0.51900000000000002</c:v>
                </c:pt>
                <c:pt idx="7" formatCode="0.00%">
                  <c:v>0.50900000000000001</c:v>
                </c:pt>
                <c:pt idx="8" formatCode="0.00%">
                  <c:v>0.48799999999999999</c:v>
                </c:pt>
                <c:pt idx="9" formatCode="0.00%">
                  <c:v>0.43099999999999999</c:v>
                </c:pt>
                <c:pt idx="10" formatCode="0.00%">
                  <c:v>0.42599999999999999</c:v>
                </c:pt>
                <c:pt idx="11" formatCode="0.00%">
                  <c:v>0.37</c:v>
                </c:pt>
                <c:pt idx="12" formatCode="0.00%">
                  <c:v>0.33700000000000002</c:v>
                </c:pt>
                <c:pt idx="13" formatCode="0.00%">
                  <c:v>0.33600000000000002</c:v>
                </c:pt>
                <c:pt idx="14" formatCode="0.00%">
                  <c:v>0.32500000000000001</c:v>
                </c:pt>
                <c:pt idx="15" formatCode="0.00%">
                  <c:v>0.28399999999999997</c:v>
                </c:pt>
                <c:pt idx="16" formatCode="0.00%">
                  <c:v>0.27899999999999997</c:v>
                </c:pt>
                <c:pt idx="17" formatCode="0.00%">
                  <c:v>0.27</c:v>
                </c:pt>
                <c:pt idx="18" formatCode="0.00%">
                  <c:v>0.25800000000000001</c:v>
                </c:pt>
                <c:pt idx="19" formatCode="0.00%">
                  <c:v>0.25700000000000001</c:v>
                </c:pt>
                <c:pt idx="20" formatCode="0.00%">
                  <c:v>0.25600000000000001</c:v>
                </c:pt>
                <c:pt idx="21" formatCode="0.00%">
                  <c:v>0.22699999999999998</c:v>
                </c:pt>
                <c:pt idx="22" formatCode="0.00%">
                  <c:v>0.22699999999999998</c:v>
                </c:pt>
                <c:pt idx="23" formatCode="0.00%">
                  <c:v>0.214</c:v>
                </c:pt>
                <c:pt idx="24" formatCode="0.00%">
                  <c:v>0.20100000000000001</c:v>
                </c:pt>
                <c:pt idx="25" formatCode="0.00%">
                  <c:v>0.187</c:v>
                </c:pt>
                <c:pt idx="26" formatCode="0.00%">
                  <c:v>0.184</c:v>
                </c:pt>
                <c:pt idx="27" formatCode="0.00%">
                  <c:v>0.16500000000000001</c:v>
                </c:pt>
                <c:pt idx="28" formatCode="0.00%">
                  <c:v>0.12300000000000001</c:v>
                </c:pt>
                <c:pt idx="29" formatCode="0.00%">
                  <c:v>0.11599999999999999</c:v>
                </c:pt>
                <c:pt idx="31" formatCode="0.00%">
                  <c:v>0.158</c:v>
                </c:pt>
                <c:pt idx="32" formatCode="0.00%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7-464F-84AE-CBE9918F3DB7}"/>
            </c:ext>
          </c:extLst>
        </c:ser>
        <c:ser>
          <c:idx val="1"/>
          <c:order val="1"/>
          <c:tx>
            <c:strRef>
              <c:f>'Figure 8'!$K$3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8'!$I$4:$I$36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Latvia</c:v>
                </c:pt>
                <c:pt idx="6">
                  <c:v>Lithuania</c:v>
                </c:pt>
                <c:pt idx="7">
                  <c:v>Portugal </c:v>
                </c:pt>
                <c:pt idx="8">
                  <c:v>Hungary</c:v>
                </c:pt>
                <c:pt idx="9">
                  <c:v>Estonia</c:v>
                </c:pt>
                <c:pt idx="10">
                  <c:v>Slovakia</c:v>
                </c:pt>
                <c:pt idx="11">
                  <c:v>Cyprus</c:v>
                </c:pt>
                <c:pt idx="12">
                  <c:v>Poland</c:v>
                </c:pt>
                <c:pt idx="13">
                  <c:v>Slovenia</c:v>
                </c:pt>
                <c:pt idx="14">
                  <c:v>Spain</c:v>
                </c:pt>
                <c:pt idx="15">
                  <c:v>Czechia</c:v>
                </c:pt>
                <c:pt idx="16">
                  <c:v>Germany</c:v>
                </c:pt>
                <c:pt idx="17">
                  <c:v>Italy</c:v>
                </c:pt>
                <c:pt idx="18">
                  <c:v>France</c:v>
                </c:pt>
                <c:pt idx="19">
                  <c:v>Romania</c:v>
                </c:pt>
                <c:pt idx="20">
                  <c:v>Malta</c:v>
                </c:pt>
                <c:pt idx="21">
                  <c:v>Ireland (¹)</c:v>
                </c:pt>
                <c:pt idx="22">
                  <c:v>Luxembourg</c:v>
                </c:pt>
                <c:pt idx="23">
                  <c:v>United Kingdom (¹)</c:v>
                </c:pt>
                <c:pt idx="24">
                  <c:v>Austria</c:v>
                </c:pt>
                <c:pt idx="25">
                  <c:v>Belgium</c:v>
                </c:pt>
                <c:pt idx="26">
                  <c:v>Denmark</c:v>
                </c:pt>
                <c:pt idx="27">
                  <c:v>Sweden</c:v>
                </c:pt>
                <c:pt idx="28">
                  <c:v>Netherlands</c:v>
                </c:pt>
                <c:pt idx="29">
                  <c:v>Finland</c:v>
                </c:pt>
                <c:pt idx="31">
                  <c:v>Norway</c:v>
                </c:pt>
                <c:pt idx="32">
                  <c:v>Switzeland </c:v>
                </c:pt>
              </c:strCache>
            </c:strRef>
          </c:cat>
          <c:val>
            <c:numRef>
              <c:f>'Figure 8'!$K$4:$K$36</c:f>
              <c:numCache>
                <c:formatCode>0.00</c:formatCode>
                <c:ptCount val="33"/>
                <c:pt idx="0" formatCode="0.00%">
                  <c:v>0.53299999999999992</c:v>
                </c:pt>
                <c:pt idx="2" formatCode="0.00%">
                  <c:v>0.23800000000000002</c:v>
                </c:pt>
                <c:pt idx="3" formatCode="0.00%">
                  <c:v>0.36499999999999999</c:v>
                </c:pt>
                <c:pt idx="4" formatCode="0.00%">
                  <c:v>0.41200000000000003</c:v>
                </c:pt>
                <c:pt idx="5" formatCode="0.00%">
                  <c:v>0.41899999999999998</c:v>
                </c:pt>
                <c:pt idx="6" formatCode="0.00%">
                  <c:v>0.40100000000000002</c:v>
                </c:pt>
                <c:pt idx="7" formatCode="0.00%">
                  <c:v>0.40799999999999997</c:v>
                </c:pt>
                <c:pt idx="8" formatCode="0.00%">
                  <c:v>0.45500000000000002</c:v>
                </c:pt>
                <c:pt idx="9" formatCode="0.00%">
                  <c:v>0.47799999999999998</c:v>
                </c:pt>
                <c:pt idx="10" formatCode="0.00%">
                  <c:v>0.433</c:v>
                </c:pt>
                <c:pt idx="11" formatCode="0.00%">
                  <c:v>0.52500000000000002</c:v>
                </c:pt>
                <c:pt idx="12" formatCode="0.00%">
                  <c:v>0.48899999999999999</c:v>
                </c:pt>
                <c:pt idx="13" formatCode="0.00%">
                  <c:v>0.53</c:v>
                </c:pt>
                <c:pt idx="14" formatCode="0.00%">
                  <c:v>0.55299999999999994</c:v>
                </c:pt>
                <c:pt idx="15" formatCode="0.00%">
                  <c:v>0.52900000000000003</c:v>
                </c:pt>
                <c:pt idx="16" formatCode="0.00%">
                  <c:v>0.47100000000000003</c:v>
                </c:pt>
                <c:pt idx="17" formatCode="0.00%">
                  <c:v>0.622</c:v>
                </c:pt>
                <c:pt idx="18" formatCode="0.00%">
                  <c:v>0.621</c:v>
                </c:pt>
                <c:pt idx="19" formatCode="0.00%">
                  <c:v>0.61899999999999999</c:v>
                </c:pt>
                <c:pt idx="20" formatCode="0.00%">
                  <c:v>0.57499999999999996</c:v>
                </c:pt>
                <c:pt idx="21" formatCode="0.00%">
                  <c:v>0.50800000000000001</c:v>
                </c:pt>
                <c:pt idx="22" formatCode="0.00%">
                  <c:v>0.54500000000000004</c:v>
                </c:pt>
                <c:pt idx="23" formatCode="0.00%">
                  <c:v>0.50700000000000001</c:v>
                </c:pt>
                <c:pt idx="24" formatCode="0.00%">
                  <c:v>0.51500000000000001</c:v>
                </c:pt>
                <c:pt idx="25" formatCode="0.00%">
                  <c:v>0.63</c:v>
                </c:pt>
                <c:pt idx="26" formatCode="0.00%">
                  <c:v>0.40299999999999997</c:v>
                </c:pt>
                <c:pt idx="27" formatCode="0.00%">
                  <c:v>0.45799999999999996</c:v>
                </c:pt>
                <c:pt idx="28" formatCode="0.00%">
                  <c:v>0.64</c:v>
                </c:pt>
                <c:pt idx="29" formatCode="0.00%">
                  <c:v>0.56399999999999995</c:v>
                </c:pt>
                <c:pt idx="31" formatCode="0.00%">
                  <c:v>0.48799999999999999</c:v>
                </c:pt>
                <c:pt idx="32" formatCode="0.00%">
                  <c:v>0.54299999999999993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7-464F-84AE-CBE9918F3DB7}"/>
            </c:ext>
          </c:extLst>
        </c:ser>
        <c:ser>
          <c:idx val="2"/>
          <c:order val="2"/>
          <c:tx>
            <c:strRef>
              <c:f>'Figure 8'!$L$3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8'!$I$4:$I$36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Croatia</c:v>
                </c:pt>
                <c:pt idx="4">
                  <c:v>Greece</c:v>
                </c:pt>
                <c:pt idx="5">
                  <c:v>Latvia</c:v>
                </c:pt>
                <c:pt idx="6">
                  <c:v>Lithuania</c:v>
                </c:pt>
                <c:pt idx="7">
                  <c:v>Portugal </c:v>
                </c:pt>
                <c:pt idx="8">
                  <c:v>Hungary</c:v>
                </c:pt>
                <c:pt idx="9">
                  <c:v>Estonia</c:v>
                </c:pt>
                <c:pt idx="10">
                  <c:v>Slovakia</c:v>
                </c:pt>
                <c:pt idx="11">
                  <c:v>Cyprus</c:v>
                </c:pt>
                <c:pt idx="12">
                  <c:v>Poland</c:v>
                </c:pt>
                <c:pt idx="13">
                  <c:v>Slovenia</c:v>
                </c:pt>
                <c:pt idx="14">
                  <c:v>Spain</c:v>
                </c:pt>
                <c:pt idx="15">
                  <c:v>Czechia</c:v>
                </c:pt>
                <c:pt idx="16">
                  <c:v>Germany</c:v>
                </c:pt>
                <c:pt idx="17">
                  <c:v>Italy</c:v>
                </c:pt>
                <c:pt idx="18">
                  <c:v>France</c:v>
                </c:pt>
                <c:pt idx="19">
                  <c:v>Romania</c:v>
                </c:pt>
                <c:pt idx="20">
                  <c:v>Malta</c:v>
                </c:pt>
                <c:pt idx="21">
                  <c:v>Ireland (¹)</c:v>
                </c:pt>
                <c:pt idx="22">
                  <c:v>Luxembourg</c:v>
                </c:pt>
                <c:pt idx="23">
                  <c:v>United Kingdom (¹)</c:v>
                </c:pt>
                <c:pt idx="24">
                  <c:v>Austria</c:v>
                </c:pt>
                <c:pt idx="25">
                  <c:v>Belgium</c:v>
                </c:pt>
                <c:pt idx="26">
                  <c:v>Denmark</c:v>
                </c:pt>
                <c:pt idx="27">
                  <c:v>Sweden</c:v>
                </c:pt>
                <c:pt idx="28">
                  <c:v>Netherlands</c:v>
                </c:pt>
                <c:pt idx="29">
                  <c:v>Finland</c:v>
                </c:pt>
                <c:pt idx="31">
                  <c:v>Norway</c:v>
                </c:pt>
                <c:pt idx="32">
                  <c:v>Switzeland </c:v>
                </c:pt>
              </c:strCache>
            </c:strRef>
          </c:cat>
          <c:val>
            <c:numRef>
              <c:f>'Figure 8'!$L$4:$L$36</c:f>
              <c:numCache>
                <c:formatCode>0.00</c:formatCode>
                <c:ptCount val="33"/>
                <c:pt idx="0" formatCode="0.00%">
                  <c:v>0.17899999999999999</c:v>
                </c:pt>
                <c:pt idx="2" formatCode="0.00%">
                  <c:v>5.5999999999999994E-2</c:v>
                </c:pt>
                <c:pt idx="3" formatCode="0.00%">
                  <c:v>8.1000000000000003E-2</c:v>
                </c:pt>
                <c:pt idx="4" formatCode="0.00%">
                  <c:v>5.2999999999999999E-2</c:v>
                </c:pt>
                <c:pt idx="5" formatCode="0.00%">
                  <c:v>0.06</c:v>
                </c:pt>
                <c:pt idx="6" formatCode="0.00%">
                  <c:v>7.9000000000000001E-2</c:v>
                </c:pt>
                <c:pt idx="7" formatCode="0.00%">
                  <c:v>8.3000000000000004E-2</c:v>
                </c:pt>
                <c:pt idx="8" formatCode="0.00%">
                  <c:v>5.7000000000000002E-2</c:v>
                </c:pt>
                <c:pt idx="9" formatCode="0.00%">
                  <c:v>9.0999999999999998E-2</c:v>
                </c:pt>
                <c:pt idx="10" formatCode="0.00%">
                  <c:v>0.14099999999999999</c:v>
                </c:pt>
                <c:pt idx="11" formatCode="0.00%">
                  <c:v>0.105</c:v>
                </c:pt>
                <c:pt idx="12" formatCode="0.00%">
                  <c:v>0.17300000000000001</c:v>
                </c:pt>
                <c:pt idx="13" formatCode="0.00%">
                  <c:v>0.13300000000000001</c:v>
                </c:pt>
                <c:pt idx="14" formatCode="0.00%">
                  <c:v>0.12300000000000001</c:v>
                </c:pt>
                <c:pt idx="15" formatCode="0.00%">
                  <c:v>0.187</c:v>
                </c:pt>
                <c:pt idx="16" formatCode="0.00%">
                  <c:v>0.25</c:v>
                </c:pt>
                <c:pt idx="17" formatCode="0.00%">
                  <c:v>0.10800000000000001</c:v>
                </c:pt>
                <c:pt idx="18" formatCode="0.00%">
                  <c:v>0.12</c:v>
                </c:pt>
                <c:pt idx="19" formatCode="0.00%">
                  <c:v>0.124</c:v>
                </c:pt>
                <c:pt idx="20" formatCode="0.00%">
                  <c:v>0.16899999999999998</c:v>
                </c:pt>
                <c:pt idx="21" formatCode="0.00%">
                  <c:v>0.26500000000000001</c:v>
                </c:pt>
                <c:pt idx="22" formatCode="0.00%">
                  <c:v>0.22800000000000001</c:v>
                </c:pt>
                <c:pt idx="23" formatCode="0.00%">
                  <c:v>0.27899999999999997</c:v>
                </c:pt>
                <c:pt idx="24" formatCode="0.00%">
                  <c:v>0.28399999999999997</c:v>
                </c:pt>
                <c:pt idx="25" formatCode="0.00%">
                  <c:v>0.182</c:v>
                </c:pt>
                <c:pt idx="26" formatCode="0.00%">
                  <c:v>0.41299999999999998</c:v>
                </c:pt>
                <c:pt idx="27" formatCode="0.00%">
                  <c:v>0.377</c:v>
                </c:pt>
                <c:pt idx="28" formatCode="0.00%">
                  <c:v>0.23800000000000002</c:v>
                </c:pt>
                <c:pt idx="29" formatCode="0.00%">
                  <c:v>0.31900000000000001</c:v>
                </c:pt>
                <c:pt idx="31" formatCode="0.00%">
                  <c:v>0.35299999999999998</c:v>
                </c:pt>
                <c:pt idx="32" formatCode="0.00%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7-464F-84AE-CBE9918F3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98468600"/>
        <c:axId val="498469584"/>
      </c:barChart>
      <c:catAx>
        <c:axId val="49846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8469584"/>
        <c:crosses val="autoZero"/>
        <c:auto val="1"/>
        <c:lblAlgn val="ctr"/>
        <c:lblOffset val="100"/>
        <c:tickMarkSkip val="1"/>
        <c:noMultiLvlLbl val="0"/>
      </c:catAx>
      <c:valAx>
        <c:axId val="4984695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98468600"/>
        <c:crosses val="autoZero"/>
        <c:crossBetween val="between"/>
        <c:min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4899678348402"/>
          <c:y val="0.87891999992724701"/>
          <c:w val="0.1962996895755432"/>
          <c:h val="3.418059710349305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Job satisfaction mean rating by country, 2013 and 2018</a:t>
            </a:r>
          </a:p>
        </c:rich>
      </c:tx>
      <c:layout>
        <c:manualLayout>
          <c:xMode val="edge"/>
          <c:yMode val="edge"/>
          <c:x val="5.3333333333333332E-3"/>
          <c:y val="8.67042453334170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8.8221569626751872E-2"/>
          <c:w val="0.97066666666666668"/>
          <c:h val="0.7489289124181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9'!$H$5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9'!$G$6:$G$38</c:f>
              <c:strCache>
                <c:ptCount val="33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Germany</c:v>
                </c:pt>
                <c:pt idx="5">
                  <c:v>Croatia</c:v>
                </c:pt>
                <c:pt idx="6">
                  <c:v>Lithuania</c:v>
                </c:pt>
                <c:pt idx="7">
                  <c:v>Hungary</c:v>
                </c:pt>
                <c:pt idx="8">
                  <c:v>Portugal</c:v>
                </c:pt>
                <c:pt idx="9">
                  <c:v>Slovakia</c:v>
                </c:pt>
                <c:pt idx="10">
                  <c:v>Italy</c:v>
                </c:pt>
                <c:pt idx="11">
                  <c:v>Romania</c:v>
                </c:pt>
                <c:pt idx="12">
                  <c:v>United Kingdom (¹)</c:v>
                </c:pt>
                <c:pt idx="13">
                  <c:v>Spain</c:v>
                </c:pt>
                <c:pt idx="14">
                  <c:v>France</c:v>
                </c:pt>
                <c:pt idx="15">
                  <c:v>Cyprus</c:v>
                </c:pt>
                <c:pt idx="16">
                  <c:v>Luxembourg </c:v>
                </c:pt>
                <c:pt idx="17">
                  <c:v>Poland</c:v>
                </c:pt>
                <c:pt idx="18">
                  <c:v>Czechia</c:v>
                </c:pt>
                <c:pt idx="19">
                  <c:v>Latvia</c:v>
                </c:pt>
                <c:pt idx="20">
                  <c:v>Belgium</c:v>
                </c:pt>
                <c:pt idx="21">
                  <c:v>Malta</c:v>
                </c:pt>
                <c:pt idx="22">
                  <c:v>Netherlands</c:v>
                </c:pt>
                <c:pt idx="23">
                  <c:v>Slovenia</c:v>
                </c:pt>
                <c:pt idx="24">
                  <c:v>Denmark</c:v>
                </c:pt>
                <c:pt idx="25">
                  <c:v>Estonia</c:v>
                </c:pt>
                <c:pt idx="26">
                  <c:v>Sweden</c:v>
                </c:pt>
                <c:pt idx="27">
                  <c:v>Ireland (¹)</c:v>
                </c:pt>
                <c:pt idx="28">
                  <c:v>Austria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'Figure 9'!$H$6:$H$38</c:f>
              <c:numCache>
                <c:formatCode>General</c:formatCode>
                <c:ptCount val="33"/>
                <c:pt idx="0">
                  <c:v>7.1</c:v>
                </c:pt>
                <c:pt idx="2">
                  <c:v>6.1</c:v>
                </c:pt>
                <c:pt idx="3">
                  <c:v>6</c:v>
                </c:pt>
                <c:pt idx="4">
                  <c:v>6.9</c:v>
                </c:pt>
                <c:pt idx="5">
                  <c:v>7</c:v>
                </c:pt>
                <c:pt idx="6">
                  <c:v>7.5</c:v>
                </c:pt>
                <c:pt idx="7">
                  <c:v>7.1</c:v>
                </c:pt>
                <c:pt idx="8">
                  <c:v>7</c:v>
                </c:pt>
                <c:pt idx="9">
                  <c:v>7.2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6.9</c:v>
                </c:pt>
                <c:pt idx="14">
                  <c:v>7.2</c:v>
                </c:pt>
                <c:pt idx="15">
                  <c:v>7.2</c:v>
                </c:pt>
                <c:pt idx="16">
                  <c:v>7.5</c:v>
                </c:pt>
                <c:pt idx="17">
                  <c:v>7.3</c:v>
                </c:pt>
                <c:pt idx="18">
                  <c:v>7.4</c:v>
                </c:pt>
                <c:pt idx="19">
                  <c:v>7.3</c:v>
                </c:pt>
                <c:pt idx="20">
                  <c:v>7.5</c:v>
                </c:pt>
                <c:pt idx="21">
                  <c:v>7.5</c:v>
                </c:pt>
                <c:pt idx="22">
                  <c:v>7.7</c:v>
                </c:pt>
                <c:pt idx="23">
                  <c:v>7.3</c:v>
                </c:pt>
                <c:pt idx="24">
                  <c:v>8.1</c:v>
                </c:pt>
                <c:pt idx="25">
                  <c:v>7.3</c:v>
                </c:pt>
                <c:pt idx="26">
                  <c:v>7.7</c:v>
                </c:pt>
                <c:pt idx="27">
                  <c:v>7.2</c:v>
                </c:pt>
                <c:pt idx="28">
                  <c:v>8</c:v>
                </c:pt>
                <c:pt idx="29">
                  <c:v>8.1</c:v>
                </c:pt>
                <c:pt idx="31">
                  <c:v>8</c:v>
                </c:pt>
                <c:pt idx="3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1-421C-BDEB-345E7E3BF315}"/>
            </c:ext>
          </c:extLst>
        </c:ser>
        <c:ser>
          <c:idx val="1"/>
          <c:order val="1"/>
          <c:tx>
            <c:strRef>
              <c:f>'Figure 9'!$I$5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9'!$G$6:$G$38</c:f>
              <c:strCache>
                <c:ptCount val="33"/>
                <c:pt idx="0">
                  <c:v>EU-28</c:v>
                </c:pt>
                <c:pt idx="2">
                  <c:v>Greece</c:v>
                </c:pt>
                <c:pt idx="3">
                  <c:v>Bulgaria</c:v>
                </c:pt>
                <c:pt idx="4">
                  <c:v>Germany</c:v>
                </c:pt>
                <c:pt idx="5">
                  <c:v>Croatia</c:v>
                </c:pt>
                <c:pt idx="6">
                  <c:v>Lithuania</c:v>
                </c:pt>
                <c:pt idx="7">
                  <c:v>Hungary</c:v>
                </c:pt>
                <c:pt idx="8">
                  <c:v>Portugal</c:v>
                </c:pt>
                <c:pt idx="9">
                  <c:v>Slovakia</c:v>
                </c:pt>
                <c:pt idx="10">
                  <c:v>Italy</c:v>
                </c:pt>
                <c:pt idx="11">
                  <c:v>Romania</c:v>
                </c:pt>
                <c:pt idx="12">
                  <c:v>United Kingdom (¹)</c:v>
                </c:pt>
                <c:pt idx="13">
                  <c:v>Spain</c:v>
                </c:pt>
                <c:pt idx="14">
                  <c:v>France</c:v>
                </c:pt>
                <c:pt idx="15">
                  <c:v>Cyprus</c:v>
                </c:pt>
                <c:pt idx="16">
                  <c:v>Luxembourg </c:v>
                </c:pt>
                <c:pt idx="17">
                  <c:v>Poland</c:v>
                </c:pt>
                <c:pt idx="18">
                  <c:v>Czechia</c:v>
                </c:pt>
                <c:pt idx="19">
                  <c:v>Latvia</c:v>
                </c:pt>
                <c:pt idx="20">
                  <c:v>Belgium</c:v>
                </c:pt>
                <c:pt idx="21">
                  <c:v>Malta</c:v>
                </c:pt>
                <c:pt idx="22">
                  <c:v>Netherlands</c:v>
                </c:pt>
                <c:pt idx="23">
                  <c:v>Slovenia</c:v>
                </c:pt>
                <c:pt idx="24">
                  <c:v>Denmark</c:v>
                </c:pt>
                <c:pt idx="25">
                  <c:v>Estonia</c:v>
                </c:pt>
                <c:pt idx="26">
                  <c:v>Sweden</c:v>
                </c:pt>
                <c:pt idx="27">
                  <c:v>Ireland (¹)</c:v>
                </c:pt>
                <c:pt idx="28">
                  <c:v>Austria</c:v>
                </c:pt>
                <c:pt idx="29">
                  <c:v>Finland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'Figure 9'!$I$6:$I$38</c:f>
              <c:numCache>
                <c:formatCode>General</c:formatCode>
                <c:ptCount val="33"/>
                <c:pt idx="0">
                  <c:v>7.2</c:v>
                </c:pt>
                <c:pt idx="2">
                  <c:v>6.2</c:v>
                </c:pt>
                <c:pt idx="3">
                  <c:v>6.4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7.1</c:v>
                </c:pt>
                <c:pt idx="8">
                  <c:v>7.1</c:v>
                </c:pt>
                <c:pt idx="9">
                  <c:v>7.1</c:v>
                </c:pt>
                <c:pt idx="10">
                  <c:v>7.2</c:v>
                </c:pt>
                <c:pt idx="11">
                  <c:v>7.2</c:v>
                </c:pt>
                <c:pt idx="12">
                  <c:v>7.2</c:v>
                </c:pt>
                <c:pt idx="13">
                  <c:v>7.3</c:v>
                </c:pt>
                <c:pt idx="14">
                  <c:v>7.3</c:v>
                </c:pt>
                <c:pt idx="15">
                  <c:v>7.3</c:v>
                </c:pt>
                <c:pt idx="16">
                  <c:v>7.3</c:v>
                </c:pt>
                <c:pt idx="17">
                  <c:v>7.3</c:v>
                </c:pt>
                <c:pt idx="18">
                  <c:v>7.4</c:v>
                </c:pt>
                <c:pt idx="19">
                  <c:v>7.4</c:v>
                </c:pt>
                <c:pt idx="20">
                  <c:v>7.5</c:v>
                </c:pt>
                <c:pt idx="21">
                  <c:v>7.5</c:v>
                </c:pt>
                <c:pt idx="22">
                  <c:v>7.5</c:v>
                </c:pt>
                <c:pt idx="23">
                  <c:v>7.5</c:v>
                </c:pt>
                <c:pt idx="24">
                  <c:v>7.6</c:v>
                </c:pt>
                <c:pt idx="25">
                  <c:v>7.6</c:v>
                </c:pt>
                <c:pt idx="26">
                  <c:v>7.7</c:v>
                </c:pt>
                <c:pt idx="27">
                  <c:v>7.8</c:v>
                </c:pt>
                <c:pt idx="28">
                  <c:v>8</c:v>
                </c:pt>
                <c:pt idx="29">
                  <c:v>8.1</c:v>
                </c:pt>
                <c:pt idx="31">
                  <c:v>8.1</c:v>
                </c:pt>
                <c:pt idx="3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1-421C-BDEB-345E7E3BF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71984"/>
        <c:axId val="546066736"/>
      </c:barChart>
      <c:catAx>
        <c:axId val="54607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6066736"/>
        <c:crosses val="autoZero"/>
        <c:auto val="1"/>
        <c:lblAlgn val="ctr"/>
        <c:lblOffset val="100"/>
        <c:tickMarkSkip val="1"/>
        <c:noMultiLvlLbl val="0"/>
      </c:catAx>
      <c:valAx>
        <c:axId val="546066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4607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49564304461942"/>
          <c:y val="0.86099414951157183"/>
          <c:w val="9.3008608923884517E-2"/>
          <c:h val="3.457229376081029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personal relationships</a:t>
            </a:r>
            <a:r>
              <a:rPr lang="en-US" baseline="0"/>
              <a:t> </a:t>
            </a:r>
            <a:r>
              <a:rPr lang="en-US"/>
              <a:t>mean rating by country, 2013 and 2018   </a:t>
            </a:r>
          </a:p>
        </c:rich>
      </c:tx>
      <c:layout>
        <c:manualLayout>
          <c:xMode val="edge"/>
          <c:yMode val="edge"/>
          <c:x val="5.3333333333333332E-3"/>
          <c:y val="9.50554689827268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1390887611387893E-2"/>
          <c:y val="0.12933494104315518"/>
          <c:w val="0.91750567155296014"/>
          <c:h val="0.64355658644583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10'!$G$4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10'!$F$5:$F$37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Italy</c:v>
                </c:pt>
                <c:pt idx="6">
                  <c:v>Hungary</c:v>
                </c:pt>
                <c:pt idx="7">
                  <c:v>Romania</c:v>
                </c:pt>
                <c:pt idx="8">
                  <c:v>Latvia</c:v>
                </c:pt>
                <c:pt idx="9">
                  <c:v>Lithuania</c:v>
                </c:pt>
                <c:pt idx="10">
                  <c:v>Luxembourg</c:v>
                </c:pt>
                <c:pt idx="11">
                  <c:v>Belgium</c:v>
                </c:pt>
                <c:pt idx="12">
                  <c:v>Germany</c:v>
                </c:pt>
                <c:pt idx="13">
                  <c:v>Estonia</c:v>
                </c:pt>
                <c:pt idx="14">
                  <c:v>France</c:v>
                </c:pt>
                <c:pt idx="15">
                  <c:v>Netherlands</c:v>
                </c:pt>
                <c:pt idx="16">
                  <c:v>Poland</c:v>
                </c:pt>
                <c:pt idx="17">
                  <c:v>Denmark</c:v>
                </c:pt>
                <c:pt idx="18">
                  <c:v>Spain</c:v>
                </c:pt>
                <c:pt idx="19">
                  <c:v>Portugal</c:v>
                </c:pt>
                <c:pt idx="20">
                  <c:v>Slovakia</c:v>
                </c:pt>
                <c:pt idx="21">
                  <c:v>Czechia</c:v>
                </c:pt>
                <c:pt idx="22">
                  <c:v>Finland</c:v>
                </c:pt>
                <c:pt idx="23">
                  <c:v>Cyprus</c:v>
                </c:pt>
                <c:pt idx="24">
                  <c:v>Sweden</c:v>
                </c:pt>
                <c:pt idx="25">
                  <c:v>United Kingdom (¹)</c:v>
                </c:pt>
                <c:pt idx="26">
                  <c:v>Ireland (¹)</c:v>
                </c:pt>
                <c:pt idx="27">
                  <c:v>Malta</c:v>
                </c:pt>
                <c:pt idx="28">
                  <c:v>Austria</c:v>
                </c:pt>
                <c:pt idx="29">
                  <c:v>Slovenia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'Figure 10'!$G$5:$G$37</c:f>
              <c:numCache>
                <c:formatCode>General</c:formatCode>
                <c:ptCount val="33"/>
                <c:pt idx="0">
                  <c:v>7.8</c:v>
                </c:pt>
                <c:pt idx="2">
                  <c:v>5.7</c:v>
                </c:pt>
                <c:pt idx="3">
                  <c:v>7</c:v>
                </c:pt>
                <c:pt idx="4">
                  <c:v>7.3</c:v>
                </c:pt>
                <c:pt idx="5">
                  <c:v>7.3</c:v>
                </c:pt>
                <c:pt idx="6">
                  <c:v>7.6</c:v>
                </c:pt>
                <c:pt idx="7">
                  <c:v>7.6</c:v>
                </c:pt>
                <c:pt idx="8">
                  <c:v>8.1</c:v>
                </c:pt>
                <c:pt idx="9">
                  <c:v>8</c:v>
                </c:pt>
                <c:pt idx="10">
                  <c:v>8</c:v>
                </c:pt>
                <c:pt idx="11">
                  <c:v>7.7</c:v>
                </c:pt>
                <c:pt idx="12">
                  <c:v>7.8</c:v>
                </c:pt>
                <c:pt idx="13">
                  <c:v>7.6</c:v>
                </c:pt>
                <c:pt idx="14">
                  <c:v>7.8</c:v>
                </c:pt>
                <c:pt idx="15">
                  <c:v>8.1999999999999993</c:v>
                </c:pt>
                <c:pt idx="16">
                  <c:v>8</c:v>
                </c:pt>
                <c:pt idx="17">
                  <c:v>8.5</c:v>
                </c:pt>
                <c:pt idx="18">
                  <c:v>7.8</c:v>
                </c:pt>
                <c:pt idx="19">
                  <c:v>7.9</c:v>
                </c:pt>
                <c:pt idx="20">
                  <c:v>7.9</c:v>
                </c:pt>
                <c:pt idx="21">
                  <c:v>8.1</c:v>
                </c:pt>
                <c:pt idx="22">
                  <c:v>8.3000000000000007</c:v>
                </c:pt>
                <c:pt idx="23">
                  <c:v>8</c:v>
                </c:pt>
                <c:pt idx="24">
                  <c:v>8.3000000000000007</c:v>
                </c:pt>
                <c:pt idx="25">
                  <c:v>8.3000000000000007</c:v>
                </c:pt>
                <c:pt idx="26">
                  <c:v>8.6</c:v>
                </c:pt>
                <c:pt idx="27">
                  <c:v>8.4</c:v>
                </c:pt>
                <c:pt idx="28">
                  <c:v>8.5</c:v>
                </c:pt>
                <c:pt idx="29">
                  <c:v>8.3000000000000007</c:v>
                </c:pt>
                <c:pt idx="31">
                  <c:v>8.4</c:v>
                </c:pt>
                <c:pt idx="3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D45-B4B4-6A4FAFD6E657}"/>
            </c:ext>
          </c:extLst>
        </c:ser>
        <c:ser>
          <c:idx val="1"/>
          <c:order val="1"/>
          <c:tx>
            <c:strRef>
              <c:f>'Figure 10'!$H$4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10'!$F$5:$F$37</c:f>
              <c:strCache>
                <c:ptCount val="33"/>
                <c:pt idx="0">
                  <c:v>EU-28</c:v>
                </c:pt>
                <c:pt idx="2">
                  <c:v>Bulgaria</c:v>
                </c:pt>
                <c:pt idx="3">
                  <c:v>Greece</c:v>
                </c:pt>
                <c:pt idx="4">
                  <c:v>Croatia</c:v>
                </c:pt>
                <c:pt idx="5">
                  <c:v>Italy</c:v>
                </c:pt>
                <c:pt idx="6">
                  <c:v>Hungary</c:v>
                </c:pt>
                <c:pt idx="7">
                  <c:v>Romania</c:v>
                </c:pt>
                <c:pt idx="8">
                  <c:v>Latvia</c:v>
                </c:pt>
                <c:pt idx="9">
                  <c:v>Lithuania</c:v>
                </c:pt>
                <c:pt idx="10">
                  <c:v>Luxembourg</c:v>
                </c:pt>
                <c:pt idx="11">
                  <c:v>Belgium</c:v>
                </c:pt>
                <c:pt idx="12">
                  <c:v>Germany</c:v>
                </c:pt>
                <c:pt idx="13">
                  <c:v>Estonia</c:v>
                </c:pt>
                <c:pt idx="14">
                  <c:v>France</c:v>
                </c:pt>
                <c:pt idx="15">
                  <c:v>Netherlands</c:v>
                </c:pt>
                <c:pt idx="16">
                  <c:v>Poland</c:v>
                </c:pt>
                <c:pt idx="17">
                  <c:v>Denmark</c:v>
                </c:pt>
                <c:pt idx="18">
                  <c:v>Spain</c:v>
                </c:pt>
                <c:pt idx="19">
                  <c:v>Portugal</c:v>
                </c:pt>
                <c:pt idx="20">
                  <c:v>Slovakia</c:v>
                </c:pt>
                <c:pt idx="21">
                  <c:v>Czechia</c:v>
                </c:pt>
                <c:pt idx="22">
                  <c:v>Finland</c:v>
                </c:pt>
                <c:pt idx="23">
                  <c:v>Cyprus</c:v>
                </c:pt>
                <c:pt idx="24">
                  <c:v>Sweden</c:v>
                </c:pt>
                <c:pt idx="25">
                  <c:v>United Kingdom (¹)</c:v>
                </c:pt>
                <c:pt idx="26">
                  <c:v>Ireland (¹)</c:v>
                </c:pt>
                <c:pt idx="27">
                  <c:v>Malta</c:v>
                </c:pt>
                <c:pt idx="28">
                  <c:v>Austria</c:v>
                </c:pt>
                <c:pt idx="29">
                  <c:v>Slovenia</c:v>
                </c:pt>
                <c:pt idx="31">
                  <c:v>Norway</c:v>
                </c:pt>
                <c:pt idx="32">
                  <c:v>Switzerland </c:v>
                </c:pt>
              </c:strCache>
            </c:strRef>
          </c:cat>
          <c:val>
            <c:numRef>
              <c:f>'Figure 10'!$H$5:$H$37</c:f>
              <c:numCache>
                <c:formatCode>General</c:formatCode>
                <c:ptCount val="33"/>
                <c:pt idx="0">
                  <c:v>8</c:v>
                </c:pt>
                <c:pt idx="2">
                  <c:v>6.6</c:v>
                </c:pt>
                <c:pt idx="3">
                  <c:v>7.1</c:v>
                </c:pt>
                <c:pt idx="4">
                  <c:v>7.5</c:v>
                </c:pt>
                <c:pt idx="5">
                  <c:v>7.6</c:v>
                </c:pt>
                <c:pt idx="6">
                  <c:v>7.6</c:v>
                </c:pt>
                <c:pt idx="7">
                  <c:v>7.6</c:v>
                </c:pt>
                <c:pt idx="8">
                  <c:v>7.8</c:v>
                </c:pt>
                <c:pt idx="9">
                  <c:v>7.8</c:v>
                </c:pt>
                <c:pt idx="10">
                  <c:v>7.8</c:v>
                </c:pt>
                <c:pt idx="11">
                  <c:v>7.9</c:v>
                </c:pt>
                <c:pt idx="12">
                  <c:v>7.9</c:v>
                </c:pt>
                <c:pt idx="13">
                  <c:v>7.9</c:v>
                </c:pt>
                <c:pt idx="14">
                  <c:v>7.9</c:v>
                </c:pt>
                <c:pt idx="15">
                  <c:v>7.9</c:v>
                </c:pt>
                <c:pt idx="16">
                  <c:v>8.1</c:v>
                </c:pt>
                <c:pt idx="17">
                  <c:v>8.1999999999999993</c:v>
                </c:pt>
                <c:pt idx="18">
                  <c:v>8.1999999999999993</c:v>
                </c:pt>
                <c:pt idx="19">
                  <c:v>8.1999999999999993</c:v>
                </c:pt>
                <c:pt idx="20">
                  <c:v>8.1999999999999993</c:v>
                </c:pt>
                <c:pt idx="21">
                  <c:v>8.3000000000000007</c:v>
                </c:pt>
                <c:pt idx="22">
                  <c:v>8.4</c:v>
                </c:pt>
                <c:pt idx="23">
                  <c:v>8.5</c:v>
                </c:pt>
                <c:pt idx="24">
                  <c:v>8.5</c:v>
                </c:pt>
                <c:pt idx="25">
                  <c:v>8.5</c:v>
                </c:pt>
                <c:pt idx="26">
                  <c:v>8.6</c:v>
                </c:pt>
                <c:pt idx="27">
                  <c:v>8.6</c:v>
                </c:pt>
                <c:pt idx="28">
                  <c:v>8.6</c:v>
                </c:pt>
                <c:pt idx="29">
                  <c:v>8.6</c:v>
                </c:pt>
                <c:pt idx="31">
                  <c:v>8.5</c:v>
                </c:pt>
                <c:pt idx="32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D45-B4B4-6A4FAFD6E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456592"/>
        <c:axId val="666448064"/>
      </c:barChart>
      <c:catAx>
        <c:axId val="6664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6448064"/>
        <c:crosses val="autoZero"/>
        <c:auto val="1"/>
        <c:lblAlgn val="ctr"/>
        <c:lblOffset val="100"/>
        <c:tickMarkSkip val="1"/>
        <c:noMultiLvlLbl val="0"/>
      </c:catAx>
      <c:valAx>
        <c:axId val="6664480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645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49561884707495"/>
          <c:y val="0.89851902180070464"/>
          <c:w val="9.3008608923884517E-2"/>
          <c:h val="3.790224555447277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Frequency of being happy by country, 2018</a:t>
            </a:r>
          </a:p>
        </c:rich>
      </c:tx>
      <c:layout>
        <c:manualLayout>
          <c:xMode val="edge"/>
          <c:yMode val="edge"/>
          <c:x val="5.3333333333333332E-3"/>
          <c:y val="6.60107087209213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673490813648295E-2"/>
          <c:y val="0.12589938381149318"/>
          <c:w val="0.92099317585301821"/>
          <c:h val="0.643435410413229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11'!$C$3</c:f>
              <c:strCache>
                <c:ptCount val="1"/>
                <c:pt idx="0">
                  <c:v>All of the time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11'!$B$4:$B$36</c15:sqref>
                  </c15:fullRef>
                </c:ext>
              </c:extLst>
              <c:f>'Figure 11'!$B$4:$B$36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Romania </c:v>
                </c:pt>
                <c:pt idx="4">
                  <c:v>Croatia</c:v>
                </c:pt>
                <c:pt idx="5">
                  <c:v>Malta</c:v>
                </c:pt>
                <c:pt idx="6">
                  <c:v>Germany</c:v>
                </c:pt>
                <c:pt idx="7">
                  <c:v>Czechia</c:v>
                </c:pt>
                <c:pt idx="8">
                  <c:v>Bulgaria</c:v>
                </c:pt>
                <c:pt idx="9">
                  <c:v>Estonia</c:v>
                </c:pt>
                <c:pt idx="10">
                  <c:v>Lithuania</c:v>
                </c:pt>
                <c:pt idx="11">
                  <c:v>Cyprus</c:v>
                </c:pt>
                <c:pt idx="12">
                  <c:v>Slovakia</c:v>
                </c:pt>
                <c:pt idx="13">
                  <c:v>Hungary</c:v>
                </c:pt>
                <c:pt idx="14">
                  <c:v>Greece</c:v>
                </c:pt>
                <c:pt idx="15">
                  <c:v>Slovenia</c:v>
                </c:pt>
                <c:pt idx="16">
                  <c:v>Finland</c:v>
                </c:pt>
                <c:pt idx="17">
                  <c:v>United Kingdom (¹)</c:v>
                </c:pt>
                <c:pt idx="18">
                  <c:v>Sweden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Portugal</c:v>
                </c:pt>
                <c:pt idx="24">
                  <c:v>France</c:v>
                </c:pt>
                <c:pt idx="25">
                  <c:v>Ireland (¹)</c:v>
                </c:pt>
                <c:pt idx="26">
                  <c:v>Italy</c:v>
                </c:pt>
                <c:pt idx="27">
                  <c:v>Poland</c:v>
                </c:pt>
                <c:pt idx="28">
                  <c:v>Belgium</c:v>
                </c:pt>
                <c:pt idx="29">
                  <c:v>Spain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11'!$C$4:$C$36</c15:sqref>
                  </c15:fullRef>
                </c:ext>
              </c:extLst>
              <c:f>'Figure 11'!$C$4:$C$36</c:f>
              <c:numCache>
                <c:formatCode>0.00%</c:formatCode>
                <c:ptCount val="33"/>
                <c:pt idx="0">
                  <c:v>0.13800000000000001</c:v>
                </c:pt>
                <c:pt idx="2">
                  <c:v>4.0999999999999995E-2</c:v>
                </c:pt>
                <c:pt idx="3">
                  <c:v>4.7E-2</c:v>
                </c:pt>
                <c:pt idx="4">
                  <c:v>5.2999999999999999E-2</c:v>
                </c:pt>
                <c:pt idx="5">
                  <c:v>5.7000000000000002E-2</c:v>
                </c:pt>
                <c:pt idx="6">
                  <c:v>6.4000000000000001E-2</c:v>
                </c:pt>
                <c:pt idx="7">
                  <c:v>6.8000000000000005E-2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8.1000000000000003E-2</c:v>
                </c:pt>
                <c:pt idx="11">
                  <c:v>8.8000000000000009E-2</c:v>
                </c:pt>
                <c:pt idx="12">
                  <c:v>9.6000000000000002E-2</c:v>
                </c:pt>
                <c:pt idx="13">
                  <c:v>9.6999999999999989E-2</c:v>
                </c:pt>
                <c:pt idx="14">
                  <c:v>9.9000000000000005E-2</c:v>
                </c:pt>
                <c:pt idx="15">
                  <c:v>0.10099999999999999</c:v>
                </c:pt>
                <c:pt idx="16">
                  <c:v>0.12300000000000001</c:v>
                </c:pt>
                <c:pt idx="17">
                  <c:v>0.127</c:v>
                </c:pt>
                <c:pt idx="18">
                  <c:v>0.128</c:v>
                </c:pt>
                <c:pt idx="19">
                  <c:v>0.14000000000000001</c:v>
                </c:pt>
                <c:pt idx="20">
                  <c:v>0.14400000000000002</c:v>
                </c:pt>
                <c:pt idx="21">
                  <c:v>0.14899999999999999</c:v>
                </c:pt>
                <c:pt idx="22">
                  <c:v>0.153</c:v>
                </c:pt>
                <c:pt idx="23">
                  <c:v>0.153</c:v>
                </c:pt>
                <c:pt idx="24">
                  <c:v>0.155</c:v>
                </c:pt>
                <c:pt idx="25">
                  <c:v>0.16300000000000001</c:v>
                </c:pt>
                <c:pt idx="26">
                  <c:v>0.16399999999999998</c:v>
                </c:pt>
                <c:pt idx="27">
                  <c:v>0.16600000000000001</c:v>
                </c:pt>
                <c:pt idx="28">
                  <c:v>0.17100000000000001</c:v>
                </c:pt>
                <c:pt idx="29">
                  <c:v>0.28499999999999998</c:v>
                </c:pt>
                <c:pt idx="31">
                  <c:v>0.124</c:v>
                </c:pt>
                <c:pt idx="32">
                  <c:v>0.14599999999999999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F-444E-94B4-89C9934E35A5}"/>
            </c:ext>
          </c:extLst>
        </c:ser>
        <c:ser>
          <c:idx val="1"/>
          <c:order val="1"/>
          <c:tx>
            <c:strRef>
              <c:f>'Figure 11'!$D$3</c:f>
              <c:strCache>
                <c:ptCount val="1"/>
                <c:pt idx="0">
                  <c:v>Most of the time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11'!$B$4:$B$36</c15:sqref>
                  </c15:fullRef>
                </c:ext>
              </c:extLst>
              <c:f>'Figure 11'!$B$4:$B$36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Romania </c:v>
                </c:pt>
                <c:pt idx="4">
                  <c:v>Croatia</c:v>
                </c:pt>
                <c:pt idx="5">
                  <c:v>Malta</c:v>
                </c:pt>
                <c:pt idx="6">
                  <c:v>Germany</c:v>
                </c:pt>
                <c:pt idx="7">
                  <c:v>Czechia</c:v>
                </c:pt>
                <c:pt idx="8">
                  <c:v>Bulgaria</c:v>
                </c:pt>
                <c:pt idx="9">
                  <c:v>Estonia</c:v>
                </c:pt>
                <c:pt idx="10">
                  <c:v>Lithuania</c:v>
                </c:pt>
                <c:pt idx="11">
                  <c:v>Cyprus</c:v>
                </c:pt>
                <c:pt idx="12">
                  <c:v>Slovakia</c:v>
                </c:pt>
                <c:pt idx="13">
                  <c:v>Hungary</c:v>
                </c:pt>
                <c:pt idx="14">
                  <c:v>Greece</c:v>
                </c:pt>
                <c:pt idx="15">
                  <c:v>Slovenia</c:v>
                </c:pt>
                <c:pt idx="16">
                  <c:v>Finland</c:v>
                </c:pt>
                <c:pt idx="17">
                  <c:v>United Kingdom (¹)</c:v>
                </c:pt>
                <c:pt idx="18">
                  <c:v>Sweden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Portugal</c:v>
                </c:pt>
                <c:pt idx="24">
                  <c:v>France</c:v>
                </c:pt>
                <c:pt idx="25">
                  <c:v>Ireland (¹)</c:v>
                </c:pt>
                <c:pt idx="26">
                  <c:v>Italy</c:v>
                </c:pt>
                <c:pt idx="27">
                  <c:v>Poland</c:v>
                </c:pt>
                <c:pt idx="28">
                  <c:v>Belgium</c:v>
                </c:pt>
                <c:pt idx="29">
                  <c:v>Spain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11'!$D$4:$D$36</c15:sqref>
                  </c15:fullRef>
                </c:ext>
              </c:extLst>
              <c:f>'Figure 11'!$D$4:$D$36</c:f>
              <c:numCache>
                <c:formatCode>0.00%</c:formatCode>
                <c:ptCount val="33"/>
                <c:pt idx="0">
                  <c:v>0.49200000000000005</c:v>
                </c:pt>
                <c:pt idx="2">
                  <c:v>0.26600000000000001</c:v>
                </c:pt>
                <c:pt idx="3">
                  <c:v>0.41700000000000004</c:v>
                </c:pt>
                <c:pt idx="4">
                  <c:v>0.36499999999999999</c:v>
                </c:pt>
                <c:pt idx="5">
                  <c:v>0.56100000000000005</c:v>
                </c:pt>
                <c:pt idx="6">
                  <c:v>0.58099999999999996</c:v>
                </c:pt>
                <c:pt idx="7">
                  <c:v>0.44799999999999995</c:v>
                </c:pt>
                <c:pt idx="8">
                  <c:v>0.27899999999999997</c:v>
                </c:pt>
                <c:pt idx="9">
                  <c:v>0.44299999999999995</c:v>
                </c:pt>
                <c:pt idx="10">
                  <c:v>0.373</c:v>
                </c:pt>
                <c:pt idx="11">
                  <c:v>0.45899999999999996</c:v>
                </c:pt>
                <c:pt idx="12">
                  <c:v>0.48199999999999998</c:v>
                </c:pt>
                <c:pt idx="13">
                  <c:v>0.48100000000000004</c:v>
                </c:pt>
                <c:pt idx="14">
                  <c:v>0.36499999999999999</c:v>
                </c:pt>
                <c:pt idx="15">
                  <c:v>0.48799999999999999</c:v>
                </c:pt>
                <c:pt idx="16">
                  <c:v>0.63600000000000001</c:v>
                </c:pt>
                <c:pt idx="17">
                  <c:v>0.57499999999999996</c:v>
                </c:pt>
                <c:pt idx="18">
                  <c:v>0.51800000000000002</c:v>
                </c:pt>
                <c:pt idx="19">
                  <c:v>0.55700000000000005</c:v>
                </c:pt>
                <c:pt idx="20">
                  <c:v>0.61499999999999999</c:v>
                </c:pt>
                <c:pt idx="21">
                  <c:v>0.59</c:v>
                </c:pt>
                <c:pt idx="22">
                  <c:v>0.60899999999999999</c:v>
                </c:pt>
                <c:pt idx="23">
                  <c:v>0.40700000000000003</c:v>
                </c:pt>
                <c:pt idx="24">
                  <c:v>0.52200000000000002</c:v>
                </c:pt>
                <c:pt idx="25">
                  <c:v>0.63</c:v>
                </c:pt>
                <c:pt idx="26">
                  <c:v>0.32700000000000001</c:v>
                </c:pt>
                <c:pt idx="27">
                  <c:v>0.51900000000000002</c:v>
                </c:pt>
                <c:pt idx="28">
                  <c:v>0.59200000000000008</c:v>
                </c:pt>
                <c:pt idx="29">
                  <c:v>0.43</c:v>
                </c:pt>
                <c:pt idx="31">
                  <c:v>0.53200000000000003</c:v>
                </c:pt>
                <c:pt idx="32">
                  <c:v>0.60699999999999998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F-444E-94B4-89C9934E35A5}"/>
            </c:ext>
          </c:extLst>
        </c:ser>
        <c:ser>
          <c:idx val="2"/>
          <c:order val="2"/>
          <c:tx>
            <c:strRef>
              <c:f>'Figure 11'!$E$3</c:f>
              <c:strCache>
                <c:ptCount val="1"/>
                <c:pt idx="0">
                  <c:v>Some of the time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11'!$B$4:$B$36</c15:sqref>
                  </c15:fullRef>
                </c:ext>
              </c:extLst>
              <c:f>'Figure 11'!$B$4:$B$36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Romania </c:v>
                </c:pt>
                <c:pt idx="4">
                  <c:v>Croatia</c:v>
                </c:pt>
                <c:pt idx="5">
                  <c:v>Malta</c:v>
                </c:pt>
                <c:pt idx="6">
                  <c:v>Germany</c:v>
                </c:pt>
                <c:pt idx="7">
                  <c:v>Czechia</c:v>
                </c:pt>
                <c:pt idx="8">
                  <c:v>Bulgaria</c:v>
                </c:pt>
                <c:pt idx="9">
                  <c:v>Estonia</c:v>
                </c:pt>
                <c:pt idx="10">
                  <c:v>Lithuania</c:v>
                </c:pt>
                <c:pt idx="11">
                  <c:v>Cyprus</c:v>
                </c:pt>
                <c:pt idx="12">
                  <c:v>Slovakia</c:v>
                </c:pt>
                <c:pt idx="13">
                  <c:v>Hungary</c:v>
                </c:pt>
                <c:pt idx="14">
                  <c:v>Greece</c:v>
                </c:pt>
                <c:pt idx="15">
                  <c:v>Slovenia</c:v>
                </c:pt>
                <c:pt idx="16">
                  <c:v>Finland</c:v>
                </c:pt>
                <c:pt idx="17">
                  <c:v>United Kingdom (¹)</c:v>
                </c:pt>
                <c:pt idx="18">
                  <c:v>Sweden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Portugal</c:v>
                </c:pt>
                <c:pt idx="24">
                  <c:v>France</c:v>
                </c:pt>
                <c:pt idx="25">
                  <c:v>Ireland (¹)</c:v>
                </c:pt>
                <c:pt idx="26">
                  <c:v>Italy</c:v>
                </c:pt>
                <c:pt idx="27">
                  <c:v>Poland</c:v>
                </c:pt>
                <c:pt idx="28">
                  <c:v>Belgium</c:v>
                </c:pt>
                <c:pt idx="29">
                  <c:v>Spain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11'!$E$4:$E$36</c15:sqref>
                  </c15:fullRef>
                </c:ext>
              </c:extLst>
              <c:f>'Figure 11'!$E$4:$E$36</c:f>
              <c:numCache>
                <c:formatCode>0.00%</c:formatCode>
                <c:ptCount val="33"/>
                <c:pt idx="0">
                  <c:v>0.25600000000000001</c:v>
                </c:pt>
                <c:pt idx="2">
                  <c:v>0.38900000000000001</c:v>
                </c:pt>
                <c:pt idx="3">
                  <c:v>0.314</c:v>
                </c:pt>
                <c:pt idx="4">
                  <c:v>0.41</c:v>
                </c:pt>
                <c:pt idx="5">
                  <c:v>0.248</c:v>
                </c:pt>
                <c:pt idx="6">
                  <c:v>0.23100000000000001</c:v>
                </c:pt>
                <c:pt idx="7">
                  <c:v>0.34600000000000003</c:v>
                </c:pt>
                <c:pt idx="8">
                  <c:v>0.36399999999999999</c:v>
                </c:pt>
                <c:pt idx="9">
                  <c:v>0.34399999999999997</c:v>
                </c:pt>
                <c:pt idx="10">
                  <c:v>0.33899999999999997</c:v>
                </c:pt>
                <c:pt idx="11">
                  <c:v>0.32100000000000001</c:v>
                </c:pt>
                <c:pt idx="12">
                  <c:v>0.27500000000000002</c:v>
                </c:pt>
                <c:pt idx="13">
                  <c:v>0.28000000000000003</c:v>
                </c:pt>
                <c:pt idx="14">
                  <c:v>0.307</c:v>
                </c:pt>
                <c:pt idx="15">
                  <c:v>0.316</c:v>
                </c:pt>
                <c:pt idx="16">
                  <c:v>0.18</c:v>
                </c:pt>
                <c:pt idx="17">
                  <c:v>0.223</c:v>
                </c:pt>
                <c:pt idx="18">
                  <c:v>0.24299999999999999</c:v>
                </c:pt>
                <c:pt idx="19">
                  <c:v>0.19500000000000001</c:v>
                </c:pt>
                <c:pt idx="20">
                  <c:v>0.17399999999999999</c:v>
                </c:pt>
                <c:pt idx="21">
                  <c:v>0.187</c:v>
                </c:pt>
                <c:pt idx="22">
                  <c:v>0.182</c:v>
                </c:pt>
                <c:pt idx="23">
                  <c:v>0.26700000000000002</c:v>
                </c:pt>
                <c:pt idx="24">
                  <c:v>0.23800000000000002</c:v>
                </c:pt>
                <c:pt idx="25">
                  <c:v>0.16</c:v>
                </c:pt>
                <c:pt idx="26">
                  <c:v>0.373</c:v>
                </c:pt>
                <c:pt idx="27">
                  <c:v>0.21899999999999997</c:v>
                </c:pt>
                <c:pt idx="28">
                  <c:v>0.17600000000000002</c:v>
                </c:pt>
                <c:pt idx="29">
                  <c:v>0.20600000000000002</c:v>
                </c:pt>
                <c:pt idx="31">
                  <c:v>0.252</c:v>
                </c:pt>
                <c:pt idx="32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F-444E-94B4-89C9934E35A5}"/>
            </c:ext>
          </c:extLst>
        </c:ser>
        <c:ser>
          <c:idx val="3"/>
          <c:order val="3"/>
          <c:tx>
            <c:strRef>
              <c:f>'Figure 11'!$F$3</c:f>
              <c:strCache>
                <c:ptCount val="1"/>
                <c:pt idx="0">
                  <c:v>A little of the time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11'!$B$4:$B$36</c15:sqref>
                  </c15:fullRef>
                </c:ext>
              </c:extLst>
              <c:f>'Figure 11'!$B$4:$B$36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Romania </c:v>
                </c:pt>
                <c:pt idx="4">
                  <c:v>Croatia</c:v>
                </c:pt>
                <c:pt idx="5">
                  <c:v>Malta</c:v>
                </c:pt>
                <c:pt idx="6">
                  <c:v>Germany</c:v>
                </c:pt>
                <c:pt idx="7">
                  <c:v>Czechia</c:v>
                </c:pt>
                <c:pt idx="8">
                  <c:v>Bulgaria</c:v>
                </c:pt>
                <c:pt idx="9">
                  <c:v>Estonia</c:v>
                </c:pt>
                <c:pt idx="10">
                  <c:v>Lithuania</c:v>
                </c:pt>
                <c:pt idx="11">
                  <c:v>Cyprus</c:v>
                </c:pt>
                <c:pt idx="12">
                  <c:v>Slovakia</c:v>
                </c:pt>
                <c:pt idx="13">
                  <c:v>Hungary</c:v>
                </c:pt>
                <c:pt idx="14">
                  <c:v>Greece</c:v>
                </c:pt>
                <c:pt idx="15">
                  <c:v>Slovenia</c:v>
                </c:pt>
                <c:pt idx="16">
                  <c:v>Finland</c:v>
                </c:pt>
                <c:pt idx="17">
                  <c:v>United Kingdom (¹)</c:v>
                </c:pt>
                <c:pt idx="18">
                  <c:v>Sweden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Portugal</c:v>
                </c:pt>
                <c:pt idx="24">
                  <c:v>France</c:v>
                </c:pt>
                <c:pt idx="25">
                  <c:v>Ireland (¹)</c:v>
                </c:pt>
                <c:pt idx="26">
                  <c:v>Italy</c:v>
                </c:pt>
                <c:pt idx="27">
                  <c:v>Poland</c:v>
                </c:pt>
                <c:pt idx="28">
                  <c:v>Belgium</c:v>
                </c:pt>
                <c:pt idx="29">
                  <c:v>Spain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11'!$F$4:$F$38</c15:sqref>
                  </c15:fullRef>
                </c:ext>
              </c:extLst>
              <c:f>'Figure 11'!$F$4:$F$36</c:f>
              <c:numCache>
                <c:formatCode>0.00%</c:formatCode>
                <c:ptCount val="33"/>
                <c:pt idx="0">
                  <c:v>0.08</c:v>
                </c:pt>
                <c:pt idx="2">
                  <c:v>0.21199999999999999</c:v>
                </c:pt>
                <c:pt idx="3">
                  <c:v>0.122</c:v>
                </c:pt>
                <c:pt idx="4">
                  <c:v>0.128</c:v>
                </c:pt>
                <c:pt idx="5">
                  <c:v>9.6999999999999989E-2</c:v>
                </c:pt>
                <c:pt idx="6">
                  <c:v>8.5999999999999993E-2</c:v>
                </c:pt>
                <c:pt idx="7">
                  <c:v>8.6999999999999994E-2</c:v>
                </c:pt>
                <c:pt idx="8">
                  <c:v>0.19899999999999998</c:v>
                </c:pt>
                <c:pt idx="9">
                  <c:v>0.10400000000000001</c:v>
                </c:pt>
                <c:pt idx="10">
                  <c:v>0.13</c:v>
                </c:pt>
                <c:pt idx="11">
                  <c:v>0.113</c:v>
                </c:pt>
                <c:pt idx="12">
                  <c:v>6.3E-2</c:v>
                </c:pt>
                <c:pt idx="13">
                  <c:v>0.12</c:v>
                </c:pt>
                <c:pt idx="14">
                  <c:v>0.157</c:v>
                </c:pt>
                <c:pt idx="15">
                  <c:v>7.0999999999999994E-2</c:v>
                </c:pt>
                <c:pt idx="16">
                  <c:v>4.4999999999999998E-2</c:v>
                </c:pt>
                <c:pt idx="17">
                  <c:v>5.9000000000000004E-2</c:v>
                </c:pt>
                <c:pt idx="18">
                  <c:v>7.400000000000001E-2</c:v>
                </c:pt>
                <c:pt idx="19">
                  <c:v>8.3000000000000004E-2</c:v>
                </c:pt>
                <c:pt idx="20">
                  <c:v>5.7999999999999996E-2</c:v>
                </c:pt>
                <c:pt idx="21">
                  <c:v>4.7E-2</c:v>
                </c:pt>
                <c:pt idx="22">
                  <c:v>3.4000000000000002E-2</c:v>
                </c:pt>
                <c:pt idx="23">
                  <c:v>0.13100000000000001</c:v>
                </c:pt>
                <c:pt idx="24">
                  <c:v>5.7000000000000002E-2</c:v>
                </c:pt>
                <c:pt idx="25">
                  <c:v>3.1E-2</c:v>
                </c:pt>
                <c:pt idx="26">
                  <c:v>0.1</c:v>
                </c:pt>
                <c:pt idx="27">
                  <c:v>7.0000000000000007E-2</c:v>
                </c:pt>
                <c:pt idx="28">
                  <c:v>4.8000000000000001E-2</c:v>
                </c:pt>
                <c:pt idx="29">
                  <c:v>6.0999999999999999E-2</c:v>
                </c:pt>
                <c:pt idx="31">
                  <c:v>8.199999999999999E-2</c:v>
                </c:pt>
                <c:pt idx="32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F-444E-94B4-89C9934E35A5}"/>
            </c:ext>
          </c:extLst>
        </c:ser>
        <c:ser>
          <c:idx val="4"/>
          <c:order val="4"/>
          <c:tx>
            <c:strRef>
              <c:f>'Figure 11'!$G$3</c:f>
              <c:strCache>
                <c:ptCount val="1"/>
                <c:pt idx="0">
                  <c:v>None of the time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11'!$B$4:$B$36</c15:sqref>
                  </c15:fullRef>
                </c:ext>
              </c:extLst>
              <c:f>'Figure 11'!$B$4:$B$36</c:f>
              <c:strCache>
                <c:ptCount val="33"/>
                <c:pt idx="0">
                  <c:v>EU-28</c:v>
                </c:pt>
                <c:pt idx="2">
                  <c:v>Latvia</c:v>
                </c:pt>
                <c:pt idx="3">
                  <c:v>Romania </c:v>
                </c:pt>
                <c:pt idx="4">
                  <c:v>Croatia</c:v>
                </c:pt>
                <c:pt idx="5">
                  <c:v>Malta</c:v>
                </c:pt>
                <c:pt idx="6">
                  <c:v>Germany</c:v>
                </c:pt>
                <c:pt idx="7">
                  <c:v>Czechia</c:v>
                </c:pt>
                <c:pt idx="8">
                  <c:v>Bulgaria</c:v>
                </c:pt>
                <c:pt idx="9">
                  <c:v>Estonia</c:v>
                </c:pt>
                <c:pt idx="10">
                  <c:v>Lithuania</c:v>
                </c:pt>
                <c:pt idx="11">
                  <c:v>Cyprus</c:v>
                </c:pt>
                <c:pt idx="12">
                  <c:v>Slovakia</c:v>
                </c:pt>
                <c:pt idx="13">
                  <c:v>Hungary</c:v>
                </c:pt>
                <c:pt idx="14">
                  <c:v>Greece</c:v>
                </c:pt>
                <c:pt idx="15">
                  <c:v>Slovenia</c:v>
                </c:pt>
                <c:pt idx="16">
                  <c:v>Finland</c:v>
                </c:pt>
                <c:pt idx="17">
                  <c:v>United Kingdom (¹)</c:v>
                </c:pt>
                <c:pt idx="18">
                  <c:v>Sweden</c:v>
                </c:pt>
                <c:pt idx="19">
                  <c:v>Denmark</c:v>
                </c:pt>
                <c:pt idx="20">
                  <c:v>Austria</c:v>
                </c:pt>
                <c:pt idx="21">
                  <c:v>Luxembourg</c:v>
                </c:pt>
                <c:pt idx="22">
                  <c:v>Netherlands</c:v>
                </c:pt>
                <c:pt idx="23">
                  <c:v>Portugal</c:v>
                </c:pt>
                <c:pt idx="24">
                  <c:v>France</c:v>
                </c:pt>
                <c:pt idx="25">
                  <c:v>Ireland (¹)</c:v>
                </c:pt>
                <c:pt idx="26">
                  <c:v>Italy</c:v>
                </c:pt>
                <c:pt idx="27">
                  <c:v>Poland</c:v>
                </c:pt>
                <c:pt idx="28">
                  <c:v>Belgium</c:v>
                </c:pt>
                <c:pt idx="29">
                  <c:v>Spain</c:v>
                </c:pt>
                <c:pt idx="31">
                  <c:v>Norway</c:v>
                </c:pt>
                <c:pt idx="32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11'!$G$4:$G$36</c15:sqref>
                  </c15:fullRef>
                </c:ext>
              </c:extLst>
              <c:f>'Figure 11'!$G$4:$G$36</c:f>
              <c:numCache>
                <c:formatCode>0.00%</c:formatCode>
                <c:ptCount val="33"/>
                <c:pt idx="0">
                  <c:v>1.9E-2</c:v>
                </c:pt>
                <c:pt idx="2">
                  <c:v>6.8000000000000005E-2</c:v>
                </c:pt>
                <c:pt idx="3">
                  <c:v>0.03</c:v>
                </c:pt>
                <c:pt idx="4">
                  <c:v>2.7000000000000003E-2</c:v>
                </c:pt>
                <c:pt idx="5">
                  <c:v>2.8999999999999998E-2</c:v>
                </c:pt>
                <c:pt idx="6">
                  <c:v>1.6E-2</c:v>
                </c:pt>
                <c:pt idx="7">
                  <c:v>1.4999999999999999E-2</c:v>
                </c:pt>
                <c:pt idx="8">
                  <c:v>4.4999999999999998E-2</c:v>
                </c:pt>
                <c:pt idx="9">
                  <c:v>3.4000000000000002E-2</c:v>
                </c:pt>
                <c:pt idx="10">
                  <c:v>2.1000000000000001E-2</c:v>
                </c:pt>
                <c:pt idx="11">
                  <c:v>1.8000000000000002E-2</c:v>
                </c:pt>
                <c:pt idx="12">
                  <c:v>1.1000000000000001E-2</c:v>
                </c:pt>
                <c:pt idx="13">
                  <c:v>1.8000000000000002E-2</c:v>
                </c:pt>
                <c:pt idx="14">
                  <c:v>5.0999999999999997E-2</c:v>
                </c:pt>
                <c:pt idx="15">
                  <c:v>1.9E-2</c:v>
                </c:pt>
                <c:pt idx="16">
                  <c:v>9.0000000000000011E-3</c:v>
                </c:pt>
                <c:pt idx="17">
                  <c:v>1.4999999999999999E-2</c:v>
                </c:pt>
                <c:pt idx="18">
                  <c:v>2.6000000000000002E-2</c:v>
                </c:pt>
                <c:pt idx="19">
                  <c:v>0.02</c:v>
                </c:pt>
                <c:pt idx="20">
                  <c:v>9.0000000000000011E-3</c:v>
                </c:pt>
                <c:pt idx="21">
                  <c:v>0.02</c:v>
                </c:pt>
                <c:pt idx="22">
                  <c:v>1.3999999999999999E-2</c:v>
                </c:pt>
                <c:pt idx="23">
                  <c:v>3.9E-2</c:v>
                </c:pt>
                <c:pt idx="24">
                  <c:v>2.1000000000000001E-2</c:v>
                </c:pt>
                <c:pt idx="25">
                  <c:v>1.6E-2</c:v>
                </c:pt>
                <c:pt idx="26">
                  <c:v>2.2000000000000002E-2</c:v>
                </c:pt>
                <c:pt idx="27">
                  <c:v>1.1000000000000001E-2</c:v>
                </c:pt>
                <c:pt idx="28">
                  <c:v>1.2E-2</c:v>
                </c:pt>
                <c:pt idx="29">
                  <c:v>1.9E-2</c:v>
                </c:pt>
                <c:pt idx="31">
                  <c:v>0.01</c:v>
                </c:pt>
                <c:pt idx="32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F-444E-94B4-89C9934E3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87519664"/>
        <c:axId val="687479648"/>
      </c:barChart>
      <c:catAx>
        <c:axId val="68751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7479648"/>
        <c:crosses val="autoZero"/>
        <c:auto val="1"/>
        <c:lblAlgn val="ctr"/>
        <c:lblOffset val="100"/>
        <c:tickMarkSkip val="1"/>
        <c:noMultiLvlLbl val="0"/>
      </c:catAx>
      <c:valAx>
        <c:axId val="687479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751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41816950300564"/>
          <c:y val="0.90644455806660529"/>
          <c:w val="0.62753039370078745"/>
          <c:h val="3.321920734342279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0</xdr:row>
      <xdr:rowOff>0</xdr:rowOff>
    </xdr:from>
    <xdr:to>
      <xdr:col>29</xdr:col>
      <xdr:colOff>514350</xdr:colOff>
      <xdr:row>45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</cdr:x>
      <cdr:y>0.9013</cdr:y>
    </cdr:from>
    <cdr:to>
      <cdr:x>0.59028</cdr:x>
      <cdr:y>0.95158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4352" y="4610101"/>
          <a:ext cx="3533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BE" sz="1100"/>
        </a:p>
      </cdr:txBody>
    </cdr:sp>
  </cdr:relSizeAnchor>
  <cdr:relSizeAnchor xmlns:cdr="http://schemas.openxmlformats.org/drawingml/2006/chartDrawing">
    <cdr:from>
      <cdr:x>0.2375</cdr:x>
      <cdr:y>0.93791</cdr:y>
    </cdr:from>
    <cdr:to>
      <cdr:x>0.79722</cdr:x>
      <cdr:y>0.98366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28777" y="5467351"/>
          <a:ext cx="3838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BE" sz="1100"/>
        </a:p>
      </cdr:txBody>
    </cdr:sp>
  </cdr:relSizeAnchor>
  <cdr:relSizeAnchor xmlns:cdr="http://schemas.openxmlformats.org/drawingml/2006/chartDrawing">
    <cdr:from>
      <cdr:x>0.02335</cdr:x>
      <cdr:y>0.87178</cdr:y>
    </cdr:from>
    <cdr:to>
      <cdr:x>0.73168</cdr:x>
      <cdr:y>0.92244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1202" y="6020756"/>
          <a:ext cx="6710042" cy="349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BE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0.83933</cdr:x>
      <cdr:y>0.92876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48198"/>
          <a:ext cx="1530358" cy="41791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0.057</cdr:x>
      <cdr:y>0.87158</cdr:y>
    </cdr:from>
    <cdr:to>
      <cdr:x>0.535</cdr:x>
      <cdr:y>0.94399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42925" y="6076950"/>
          <a:ext cx="45529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BE" sz="1100"/>
        </a:p>
      </cdr:txBody>
    </cdr:sp>
  </cdr:relSizeAnchor>
  <cdr:relSizeAnchor xmlns:cdr="http://schemas.openxmlformats.org/drawingml/2006/chartDrawing">
    <cdr:from>
      <cdr:x>0.028</cdr:x>
      <cdr:y>0.88402</cdr:y>
    </cdr:from>
    <cdr:to>
      <cdr:x>0.725</cdr:x>
      <cdr:y>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66700" y="6129962"/>
          <a:ext cx="6638925" cy="804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BE" sz="12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fr-BE" sz="1200" baseline="30000">
              <a:latin typeface="Arial" panose="020B0604020202020204" pitchFamily="34" charset="0"/>
              <a:cs typeface="Arial" panose="020B0604020202020204" pitchFamily="34" charset="0"/>
            </a:rPr>
            <a:t>1</a:t>
          </a:r>
          <a:r>
            <a:rPr lang="fr-BE" sz="1200">
              <a:latin typeface="Arial" panose="020B0604020202020204" pitchFamily="34" charset="0"/>
              <a:cs typeface="Arial" panose="020B0604020202020204" pitchFamily="34" charset="0"/>
            </a:rPr>
            <a:t>) Provisional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fr-BE" sz="1200" baseline="0">
              <a:latin typeface="Arial" panose="020B0604020202020204" pitchFamily="34" charset="0"/>
              <a:cs typeface="Arial" panose="020B0604020202020204" pitchFamily="34" charset="0"/>
            </a:rPr>
            <a:t>: Eurostat (online data: ilc_pw01 and ilc_pw05)</a:t>
          </a:r>
          <a:endParaRPr lang="fr-BE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15874</xdr:colOff>
      <xdr:row>0</xdr:row>
      <xdr:rowOff>9526</xdr:rowOff>
    </xdr:from>
    <xdr:to>
      <xdr:col>24</xdr:col>
      <xdr:colOff>247647</xdr:colOff>
      <xdr:row>39</xdr:row>
      <xdr:rowOff>9526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0.9156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9973" y="544196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0">
              <a:latin typeface="Arial" panose="020B0604020202020204" pitchFamily="34" charset="0"/>
            </a:rPr>
            <a:t>(</a:t>
          </a:r>
          <a:r>
            <a:rPr lang="fr-BE" sz="1200" i="0" baseline="30000">
              <a:latin typeface="Arial" panose="020B0604020202020204" pitchFamily="34" charset="0"/>
            </a:rPr>
            <a:t>1</a:t>
          </a:r>
          <a:r>
            <a:rPr lang="fr-BE" sz="1200" i="0">
              <a:latin typeface="Arial" panose="020B0604020202020204" pitchFamily="34" charset="0"/>
            </a:rPr>
            <a:t>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ilc_pw01)</a:t>
          </a:r>
        </a:p>
      </cdr:txBody>
    </cdr:sp>
  </cdr:absSizeAnchor>
  <cdr:absSizeAnchor xmlns:cdr="http://schemas.openxmlformats.org/drawingml/2006/chartDrawing">
    <cdr:from>
      <cdr:x>0.83933</cdr:x>
      <cdr:y>0.92726</cdr:y>
    </cdr:from>
    <cdr:ext cx="1530358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32735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566736</xdr:colOff>
      <xdr:row>1</xdr:row>
      <xdr:rowOff>19053</xdr:rowOff>
    </xdr:from>
    <xdr:to>
      <xdr:col>23</xdr:col>
      <xdr:colOff>338136</xdr:colOff>
      <xdr:row>55</xdr:row>
      <xdr:rowOff>136654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0.03264</cdr:x>
      <cdr:y>0.93131</cdr:y>
    </cdr:from>
    <cdr:to>
      <cdr:x>0.55967</cdr:x>
      <cdr:y>0.99201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9089" y="5553075"/>
          <a:ext cx="51530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BE" sz="1100"/>
        </a:p>
      </cdr:txBody>
    </cdr:sp>
  </cdr:relSizeAnchor>
  <cdr:absSizeAnchor xmlns:cdr="http://schemas.openxmlformats.org/drawingml/2006/chartDrawing">
    <cdr:from>
      <cdr:x>0.00533</cdr:x>
      <cdr:y>0.91348</cdr:y>
    </cdr:from>
    <cdr:ext cx="7994650" cy="484876"/>
    <cdr:sp macro="" textlink="">
      <cdr:nvSpPr>
        <cdr:cNvPr id="5" name="FootonotesShape"/>
        <cdr:cNvSpPr txBox="1"/>
      </cdr:nvSpPr>
      <cdr:spPr>
        <a:xfrm xmlns:a="http://schemas.openxmlformats.org/drawingml/2006/main">
          <a:off x="50768" y="7625001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0">
              <a:latin typeface="Arial" panose="020B0604020202020204" pitchFamily="34" charset="0"/>
            </a:rPr>
            <a:t>(</a:t>
          </a:r>
          <a:r>
            <a:rPr lang="fr-BE" sz="1200" i="0" baseline="30000">
              <a:latin typeface="Arial" panose="020B0604020202020204" pitchFamily="34" charset="0"/>
            </a:rPr>
            <a:t>1</a:t>
          </a:r>
          <a:r>
            <a:rPr lang="fr-BE" sz="1200" i="0">
              <a:latin typeface="Arial" panose="020B0604020202020204" pitchFamily="34" charset="0"/>
            </a:rPr>
            <a:t>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ilc_pw05)</a:t>
          </a:r>
        </a:p>
      </cdr:txBody>
    </cdr:sp>
  </cdr:absSizeAnchor>
  <cdr:absSizeAnchor xmlns:cdr="http://schemas.openxmlformats.org/drawingml/2006/chartDrawing">
    <cdr:from>
      <cdr:x>0.83933</cdr:x>
      <cdr:y>0.92543</cdr:y>
    </cdr:from>
    <cdr:ext cx="1530358" cy="417915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18608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60323</xdr:colOff>
      <xdr:row>6</xdr:row>
      <xdr:rowOff>133350</xdr:rowOff>
    </xdr:from>
    <xdr:to>
      <xdr:col>20</xdr:col>
      <xdr:colOff>600075</xdr:colOff>
      <xdr:row>53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0.00975</cdr:x>
      <cdr:y>0.8934</cdr:y>
    </cdr:from>
    <cdr:ext cx="7778366" cy="54015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76586" y="6203548"/>
          <a:ext cx="7778366" cy="540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endParaRPr lang="fr-BE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 and ilc_pw05)</a:t>
          </a:r>
        </a:p>
      </cdr:txBody>
    </cdr:sp>
  </cdr:absSizeAnchor>
  <cdr:absSizeAnchor xmlns:cdr="http://schemas.openxmlformats.org/drawingml/2006/chartDrawing">
    <cdr:from>
      <cdr:x>0.83933</cdr:x>
      <cdr:y>0.94295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90727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152401</xdr:colOff>
      <xdr:row>0</xdr:row>
      <xdr:rowOff>0</xdr:rowOff>
    </xdr:from>
    <xdr:to>
      <xdr:col>22</xdr:col>
      <xdr:colOff>257175</xdr:colOff>
      <xdr:row>47</xdr:row>
      <xdr:rowOff>47622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0.01746</cdr:x>
      <cdr:y>0.89265</cdr:y>
    </cdr:from>
    <cdr:ext cx="7994650" cy="573005"/>
    <cdr:sp macro="" textlink="">
      <cdr:nvSpPr>
        <cdr:cNvPr id="4" name="FootonotesShape"/>
        <cdr:cNvSpPr txBox="1"/>
      </cdr:nvSpPr>
      <cdr:spPr>
        <a:xfrm xmlns:a="http://schemas.openxmlformats.org/drawingml/2006/main">
          <a:off x="150821" y="6427870"/>
          <a:ext cx="7994650" cy="57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 and ilc_pw05)</a:t>
          </a:r>
        </a:p>
      </cdr:txBody>
    </cdr:sp>
  </cdr:absSizeAnchor>
  <cdr:absSizeAnchor xmlns:cdr="http://schemas.openxmlformats.org/drawingml/2006/chartDrawing">
    <cdr:from>
      <cdr:x>0.83933</cdr:x>
      <cdr:y>0.93817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4079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145255</xdr:rowOff>
    </xdr:from>
    <xdr:to>
      <xdr:col>23</xdr:col>
      <xdr:colOff>508000</xdr:colOff>
      <xdr:row>42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0.91174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937" y="5139376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fr-BE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 and ilc_pw05)</a:t>
          </a:r>
        </a:p>
      </cdr:txBody>
    </cdr:sp>
  </cdr:absSizeAnchor>
  <cdr:absSizeAnchor xmlns:cdr="http://schemas.openxmlformats.org/drawingml/2006/chartDrawing">
    <cdr:from>
      <cdr:x>0.83933</cdr:x>
      <cdr:y>0.93152</cdr:y>
    </cdr:from>
    <cdr:ext cx="1530358" cy="438149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21267" y="5960269"/>
          <a:ext cx="1530358" cy="438149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</xdr:row>
      <xdr:rowOff>47625</xdr:rowOff>
    </xdr:from>
    <xdr:to>
      <xdr:col>30</xdr:col>
      <xdr:colOff>342900</xdr:colOff>
      <xdr:row>50</xdr:row>
      <xdr:rowOff>130629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0.06736</cdr:x>
      <cdr:y>0.87732</cdr:y>
    </cdr:from>
    <cdr:ext cx="7994650" cy="65926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721762" y="5979660"/>
          <a:ext cx="7994650" cy="659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0">
              <a:latin typeface="Arial" panose="020B0604020202020204" pitchFamily="34" charset="0"/>
            </a:rPr>
            <a:t>(</a:t>
          </a:r>
          <a:r>
            <a:rPr lang="fr-BE" sz="1200" i="0" baseline="30000">
              <a:latin typeface="Arial" panose="020B0604020202020204" pitchFamily="34" charset="0"/>
            </a:rPr>
            <a:t>1</a:t>
          </a:r>
          <a:r>
            <a:rPr lang="fr-BE" sz="1200" i="0">
              <a:latin typeface="Arial" panose="020B0604020202020204" pitchFamily="34" charset="0"/>
            </a:rPr>
            <a:t>)</a:t>
          </a:r>
          <a:r>
            <a:rPr lang="fr-BE" sz="1200" i="0" baseline="0">
              <a:latin typeface="Arial" panose="020B0604020202020204" pitchFamily="34" charset="0"/>
            </a:rPr>
            <a:t> Provisional </a:t>
          </a:r>
          <a:endParaRPr lang="fr-BE" sz="1200" i="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ilc_pw01)</a:t>
          </a:r>
        </a:p>
      </cdr:txBody>
    </cdr:sp>
  </cdr:absSizeAnchor>
  <cdr:absSizeAnchor xmlns:cdr="http://schemas.openxmlformats.org/drawingml/2006/chartDrawing">
    <cdr:from>
      <cdr:x>0.83933</cdr:x>
      <cdr:y>0.9345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6260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558905</xdr:colOff>
      <xdr:row>2</xdr:row>
      <xdr:rowOff>38407</xdr:rowOff>
    </xdr:from>
    <xdr:to>
      <xdr:col>32</xdr:col>
      <xdr:colOff>138112</xdr:colOff>
      <xdr:row>51</xdr:row>
      <xdr:rowOff>80545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0.00629</cdr:x>
      <cdr:y>0.89937</cdr:y>
    </cdr:from>
    <cdr:ext cx="7957514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62518" y="6754042"/>
          <a:ext cx="7957514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0">
              <a:latin typeface="Arial" panose="020B0604020202020204" pitchFamily="34" charset="0"/>
            </a:rPr>
            <a:t>(</a:t>
          </a:r>
          <a:r>
            <a:rPr lang="fr-BE" sz="1200" i="0" baseline="30000">
              <a:latin typeface="Arial" panose="020B0604020202020204" pitchFamily="34" charset="0"/>
            </a:rPr>
            <a:t>1</a:t>
          </a:r>
          <a:r>
            <a:rPr lang="fr-BE" sz="1200" i="0">
              <a:latin typeface="Arial" panose="020B0604020202020204" pitchFamily="34" charset="0"/>
            </a:rPr>
            <a:t>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ilc_pw05)</a:t>
          </a:r>
        </a:p>
      </cdr:txBody>
    </cdr:sp>
  </cdr:absSizeAnchor>
  <cdr:absSizeAnchor xmlns:cdr="http://schemas.openxmlformats.org/drawingml/2006/chartDrawing">
    <cdr:from>
      <cdr:x>0.83933</cdr:x>
      <cdr:y>0.93223</cdr:y>
    </cdr:from>
    <cdr:ext cx="1530358" cy="48116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311008" y="6676717"/>
          <a:ext cx="1530358" cy="48116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1</xdr:rowOff>
    </xdr:from>
    <xdr:to>
      <xdr:col>26</xdr:col>
      <xdr:colOff>400050</xdr:colOff>
      <xdr:row>42</xdr:row>
      <xdr:rowOff>67799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0.91724</cdr:y>
    </cdr:from>
    <cdr:ext cx="7994650" cy="484876"/>
    <cdr:sp macro="" textlink="">
      <cdr:nvSpPr>
        <cdr:cNvPr id="7" name="FootonotesShape"/>
        <cdr:cNvSpPr txBox="1"/>
      </cdr:nvSpPr>
      <cdr:spPr>
        <a:xfrm xmlns:a="http://schemas.openxmlformats.org/drawingml/2006/main">
          <a:off x="51107" y="5770172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0">
              <a:latin typeface="Arial" panose="020B0604020202020204" pitchFamily="34" charset="0"/>
            </a:rPr>
            <a:t>(</a:t>
          </a:r>
          <a:r>
            <a:rPr lang="fr-BE" sz="1200" i="0" baseline="30000">
              <a:latin typeface="Arial" panose="020B0604020202020204" pitchFamily="34" charset="0"/>
            </a:rPr>
            <a:t>1</a:t>
          </a:r>
          <a:r>
            <a:rPr lang="fr-BE" sz="1200" i="0">
              <a:latin typeface="Arial" panose="020B0604020202020204" pitchFamily="34" charset="0"/>
            </a:rPr>
            <a:t>) Provisional 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ilc_pw01)</a:t>
          </a:r>
        </a:p>
      </cdr:txBody>
    </cdr:sp>
  </cdr:absSizeAnchor>
  <cdr:absSizeAnchor xmlns:cdr="http://schemas.openxmlformats.org/drawingml/2006/chartDrawing">
    <cdr:from>
      <cdr:x>0.83933</cdr:x>
      <cdr:y>0.92867</cdr:y>
    </cdr:from>
    <cdr:ext cx="1530358" cy="417916"/>
    <cdr:pic>
      <cdr:nvPicPr>
        <cdr:cNvPr id="8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4108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19048</xdr:colOff>
      <xdr:row>6</xdr:row>
      <xdr:rowOff>19049</xdr:rowOff>
    </xdr:from>
    <xdr:to>
      <xdr:col>27</xdr:col>
      <xdr:colOff>133350</xdr:colOff>
      <xdr:row>46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0.90927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9094" y="565550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 i="0">
              <a:latin typeface="Arial" panose="020B0604020202020204" pitchFamily="34" charset="0"/>
            </a:rPr>
            <a:t>(</a:t>
          </a:r>
          <a:r>
            <a:rPr lang="fr-BE" sz="1200" i="0" baseline="30000">
              <a:latin typeface="Arial" panose="020B0604020202020204" pitchFamily="34" charset="0"/>
            </a:rPr>
            <a:t>1</a:t>
          </a:r>
          <a:r>
            <a:rPr lang="fr-BE" sz="1200" i="0">
              <a:latin typeface="Arial" panose="020B0604020202020204" pitchFamily="34" charset="0"/>
            </a:rPr>
            <a:t>)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ilc_pw01)</a:t>
          </a:r>
        </a:p>
      </cdr:txBody>
    </cdr:sp>
  </cdr:absSizeAnchor>
  <cdr:absSizeAnchor xmlns:cdr="http://schemas.openxmlformats.org/drawingml/2006/chartDrawing">
    <cdr:from>
      <cdr:x>0.83933</cdr:x>
      <cdr:y>0.9218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2633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0</xdr:row>
      <xdr:rowOff>66675</xdr:rowOff>
    </xdr:from>
    <xdr:to>
      <xdr:col>30</xdr:col>
      <xdr:colOff>9525</xdr:colOff>
      <xdr:row>48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0.03377</cdr:x>
      <cdr:y>0.92046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329037" y="6356370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BE" sz="120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BE" sz="120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Provisional</a:t>
          </a:r>
          <a:endParaRPr lang="fr-BE" sz="1200" i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ilc_pw08)</a:t>
          </a:r>
        </a:p>
      </cdr:txBody>
    </cdr:sp>
  </cdr:absSizeAnchor>
  <cdr:absSizeAnchor xmlns:cdr="http://schemas.openxmlformats.org/drawingml/2006/chartDrawing">
    <cdr:from>
      <cdr:x>0.83933</cdr:x>
      <cdr:y>0.92856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3208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78"/>
  <sheetViews>
    <sheetView showGridLines="0" zoomScaleNormal="100" workbookViewId="0">
      <selection activeCell="U35" sqref="U34:U35"/>
    </sheetView>
  </sheetViews>
  <sheetFormatPr defaultRowHeight="12" x14ac:dyDescent="0.2"/>
  <cols>
    <col min="1" max="1" width="9.140625" style="1"/>
    <col min="2" max="3" width="17.7109375" style="1" customWidth="1"/>
    <col min="4" max="4" width="4" style="1" customWidth="1"/>
    <col min="5" max="5" width="17.7109375" style="1" customWidth="1"/>
    <col min="6" max="6" width="4.140625" style="1" customWidth="1"/>
    <col min="7" max="7" width="17.7109375" style="1" customWidth="1"/>
    <col min="8" max="8" width="4.140625" style="1" customWidth="1"/>
    <col min="9" max="9" width="17.7109375" style="1" customWidth="1"/>
    <col min="10" max="10" width="4.140625" style="1" customWidth="1"/>
    <col min="11" max="11" width="17.7109375" style="1" customWidth="1"/>
    <col min="12" max="12" width="4.140625" style="1" customWidth="1"/>
    <col min="13" max="16384" width="9.140625" style="1"/>
  </cols>
  <sheetData>
    <row r="3" spans="1:15" x14ac:dyDescent="0.2">
      <c r="A3" s="2"/>
      <c r="B3" s="47" t="s">
        <v>45</v>
      </c>
      <c r="C3" s="47"/>
      <c r="D3" s="47"/>
      <c r="E3" s="2"/>
      <c r="F3" s="2"/>
    </row>
    <row r="4" spans="1:15" x14ac:dyDescent="0.2">
      <c r="A4" s="2"/>
      <c r="B4" s="2"/>
      <c r="C4" s="2"/>
      <c r="D4" s="2"/>
      <c r="E4" s="2"/>
      <c r="F4" s="2"/>
    </row>
    <row r="5" spans="1:15" x14ac:dyDescent="0.2">
      <c r="A5" s="2"/>
      <c r="B5" s="2"/>
      <c r="C5" s="2"/>
      <c r="D5" s="2"/>
      <c r="E5" s="2"/>
      <c r="F5" s="2"/>
    </row>
    <row r="6" spans="1:15" x14ac:dyDescent="0.2">
      <c r="A6" s="2"/>
      <c r="B6" s="44" t="s">
        <v>116</v>
      </c>
      <c r="C6" s="44"/>
      <c r="D6" s="2"/>
      <c r="E6" s="2"/>
      <c r="F6" s="2"/>
    </row>
    <row r="7" spans="1:15" x14ac:dyDescent="0.2">
      <c r="A7" s="2"/>
      <c r="B7" s="2"/>
      <c r="C7" s="2"/>
      <c r="D7" s="2"/>
      <c r="E7" s="2"/>
      <c r="F7" s="2"/>
    </row>
    <row r="9" spans="1:15" ht="12" customHeight="1" x14ac:dyDescent="0.2">
      <c r="B9" s="19"/>
      <c r="C9" s="19" t="s">
        <v>63</v>
      </c>
      <c r="D9" s="19"/>
      <c r="E9" s="19" t="s">
        <v>64</v>
      </c>
      <c r="F9" s="19"/>
      <c r="G9" s="19" t="s">
        <v>65</v>
      </c>
      <c r="H9" s="19"/>
      <c r="I9" s="19" t="s">
        <v>66</v>
      </c>
      <c r="J9" s="19"/>
      <c r="K9" s="19" t="s">
        <v>67</v>
      </c>
      <c r="L9" s="59"/>
    </row>
    <row r="10" spans="1:15" x14ac:dyDescent="0.2">
      <c r="B10" s="20" t="s">
        <v>28</v>
      </c>
      <c r="C10" s="26">
        <v>6.6</v>
      </c>
      <c r="D10" s="26"/>
      <c r="E10" s="26">
        <v>7.1</v>
      </c>
      <c r="F10" s="26"/>
      <c r="G10" s="26">
        <v>7.3</v>
      </c>
      <c r="H10" s="26"/>
      <c r="I10" s="26">
        <v>7.6</v>
      </c>
      <c r="J10" s="26"/>
      <c r="K10" s="26">
        <v>7.8</v>
      </c>
      <c r="L10" s="60"/>
      <c r="O10" s="34"/>
    </row>
    <row r="11" spans="1:15" ht="12" customHeight="1" x14ac:dyDescent="0.2">
      <c r="B11" s="21" t="s">
        <v>77</v>
      </c>
      <c r="C11" s="27">
        <v>6.7</v>
      </c>
      <c r="D11" s="27"/>
      <c r="E11" s="27">
        <v>7.2</v>
      </c>
      <c r="F11" s="27"/>
      <c r="G11" s="27">
        <v>7.7</v>
      </c>
      <c r="H11" s="27"/>
      <c r="I11" s="27">
        <v>7.9</v>
      </c>
      <c r="J11" s="27"/>
      <c r="K11" s="51">
        <v>8</v>
      </c>
      <c r="L11" s="66"/>
    </row>
    <row r="12" spans="1:15" x14ac:dyDescent="0.2">
      <c r="B12" s="22" t="s">
        <v>78</v>
      </c>
      <c r="C12" s="28">
        <v>4.0999999999999996</v>
      </c>
      <c r="D12" s="28"/>
      <c r="E12" s="28">
        <v>4.8</v>
      </c>
      <c r="F12" s="28"/>
      <c r="G12" s="28">
        <v>5.4</v>
      </c>
      <c r="H12" s="28"/>
      <c r="I12" s="28">
        <v>5.8</v>
      </c>
      <c r="J12" s="28"/>
      <c r="K12" s="28">
        <v>6.6</v>
      </c>
      <c r="L12" s="62"/>
    </row>
    <row r="13" spans="1:15" x14ac:dyDescent="0.2">
      <c r="B13" s="22" t="s">
        <v>79</v>
      </c>
      <c r="C13" s="28">
        <v>6.7</v>
      </c>
      <c r="D13" s="28"/>
      <c r="E13" s="28">
        <v>7.2</v>
      </c>
      <c r="F13" s="28"/>
      <c r="G13" s="28">
        <v>7.4</v>
      </c>
      <c r="H13" s="28"/>
      <c r="I13" s="28">
        <v>7.7</v>
      </c>
      <c r="J13" s="28"/>
      <c r="K13" s="28">
        <v>8.1</v>
      </c>
      <c r="L13" s="62"/>
      <c r="N13" s="35"/>
    </row>
    <row r="14" spans="1:15" x14ac:dyDescent="0.2">
      <c r="B14" s="22" t="s">
        <v>80</v>
      </c>
      <c r="C14" s="28">
        <v>7.1</v>
      </c>
      <c r="D14" s="28"/>
      <c r="E14" s="28">
        <v>7.6</v>
      </c>
      <c r="F14" s="28"/>
      <c r="G14" s="28">
        <v>7.8</v>
      </c>
      <c r="H14" s="28"/>
      <c r="I14" s="48">
        <v>8</v>
      </c>
      <c r="J14" s="48"/>
      <c r="K14" s="28">
        <v>8.1999999999999993</v>
      </c>
      <c r="L14" s="62"/>
    </row>
    <row r="15" spans="1:15" x14ac:dyDescent="0.2">
      <c r="B15" s="22" t="s">
        <v>81</v>
      </c>
      <c r="C15" s="28">
        <v>6.4</v>
      </c>
      <c r="D15" s="28"/>
      <c r="E15" s="28">
        <v>7.2</v>
      </c>
      <c r="F15" s="28"/>
      <c r="G15" s="28">
        <v>7.4</v>
      </c>
      <c r="H15" s="28"/>
      <c r="I15" s="28">
        <v>7.7</v>
      </c>
      <c r="J15" s="28"/>
      <c r="K15" s="28">
        <v>7.9</v>
      </c>
      <c r="L15" s="62"/>
    </row>
    <row r="16" spans="1:15" x14ac:dyDescent="0.2">
      <c r="B16" s="22" t="s">
        <v>82</v>
      </c>
      <c r="C16" s="28">
        <v>6.2</v>
      </c>
      <c r="D16" s="28"/>
      <c r="E16" s="28">
        <v>6.7</v>
      </c>
      <c r="F16" s="28"/>
      <c r="G16" s="28">
        <v>7.1</v>
      </c>
      <c r="H16" s="28"/>
      <c r="I16" s="28">
        <v>7.3</v>
      </c>
      <c r="J16" s="28"/>
      <c r="K16" s="28">
        <v>7.8</v>
      </c>
      <c r="L16" s="62"/>
    </row>
    <row r="17" spans="2:12" x14ac:dyDescent="0.2">
      <c r="B17" s="22" t="s">
        <v>104</v>
      </c>
      <c r="C17" s="32">
        <v>7.3</v>
      </c>
      <c r="D17" s="67" t="s">
        <v>145</v>
      </c>
      <c r="E17" s="32">
        <v>7.7</v>
      </c>
      <c r="F17" s="67" t="s">
        <v>145</v>
      </c>
      <c r="G17" s="58">
        <v>8</v>
      </c>
      <c r="H17" s="70" t="s">
        <v>145</v>
      </c>
      <c r="I17" s="32">
        <v>8.3000000000000007</v>
      </c>
      <c r="J17" s="67" t="s">
        <v>145</v>
      </c>
      <c r="K17" s="32">
        <v>8.6</v>
      </c>
      <c r="L17" s="72" t="s">
        <v>145</v>
      </c>
    </row>
    <row r="18" spans="2:12" x14ac:dyDescent="0.2">
      <c r="B18" s="22" t="s">
        <v>83</v>
      </c>
      <c r="C18" s="28">
        <v>5.8</v>
      </c>
      <c r="D18" s="28"/>
      <c r="E18" s="28">
        <v>6.2</v>
      </c>
      <c r="F18" s="28"/>
      <c r="G18" s="28">
        <v>6.4</v>
      </c>
      <c r="H18" s="28"/>
      <c r="I18" s="28">
        <v>6.6</v>
      </c>
      <c r="J18" s="28"/>
      <c r="K18" s="28">
        <v>7.1</v>
      </c>
      <c r="L18" s="62"/>
    </row>
    <row r="19" spans="2:12" x14ac:dyDescent="0.2">
      <c r="B19" s="22" t="s">
        <v>84</v>
      </c>
      <c r="C19" s="28">
        <v>6.6</v>
      </c>
      <c r="D19" s="28"/>
      <c r="E19" s="48">
        <v>7</v>
      </c>
      <c r="F19" s="48"/>
      <c r="G19" s="28">
        <v>7.3</v>
      </c>
      <c r="H19" s="28"/>
      <c r="I19" s="28">
        <v>7.6</v>
      </c>
      <c r="J19" s="28"/>
      <c r="K19" s="28">
        <v>7.9</v>
      </c>
      <c r="L19" s="62"/>
    </row>
    <row r="20" spans="2:12" x14ac:dyDescent="0.2">
      <c r="B20" s="22" t="s">
        <v>85</v>
      </c>
      <c r="C20" s="28">
        <v>6.7</v>
      </c>
      <c r="D20" s="28"/>
      <c r="E20" s="48">
        <v>7</v>
      </c>
      <c r="F20" s="48"/>
      <c r="G20" s="28">
        <v>7.3</v>
      </c>
      <c r="H20" s="28"/>
      <c r="I20" s="28">
        <v>7.6</v>
      </c>
      <c r="J20" s="28"/>
      <c r="K20" s="28">
        <v>7.6</v>
      </c>
      <c r="L20" s="62"/>
    </row>
    <row r="21" spans="2:12" x14ac:dyDescent="0.2">
      <c r="B21" s="22" t="s">
        <v>86</v>
      </c>
      <c r="C21" s="48">
        <v>5</v>
      </c>
      <c r="D21" s="48"/>
      <c r="E21" s="48">
        <v>6</v>
      </c>
      <c r="F21" s="48"/>
      <c r="G21" s="28">
        <v>6.5</v>
      </c>
      <c r="H21" s="28"/>
      <c r="I21" s="28">
        <v>6.8</v>
      </c>
      <c r="J21" s="28"/>
      <c r="K21" s="28">
        <v>7.4</v>
      </c>
      <c r="L21" s="62"/>
    </row>
    <row r="22" spans="2:12" x14ac:dyDescent="0.2">
      <c r="B22" s="22" t="s">
        <v>87</v>
      </c>
      <c r="C22" s="28">
        <v>6.5</v>
      </c>
      <c r="D22" s="28"/>
      <c r="E22" s="28">
        <v>6.9</v>
      </c>
      <c r="F22" s="28"/>
      <c r="G22" s="28">
        <v>7.1</v>
      </c>
      <c r="H22" s="28"/>
      <c r="I22" s="28">
        <v>7.2</v>
      </c>
      <c r="J22" s="28"/>
      <c r="K22" s="28">
        <v>7.5</v>
      </c>
      <c r="L22" s="62"/>
    </row>
    <row r="23" spans="2:12" x14ac:dyDescent="0.2">
      <c r="B23" s="22" t="s">
        <v>88</v>
      </c>
      <c r="C23" s="28">
        <v>6.2</v>
      </c>
      <c r="D23" s="28"/>
      <c r="E23" s="28">
        <v>6.7</v>
      </c>
      <c r="F23" s="28"/>
      <c r="G23" s="48">
        <v>7</v>
      </c>
      <c r="H23" s="48"/>
      <c r="I23" s="28">
        <v>7.4</v>
      </c>
      <c r="J23" s="28"/>
      <c r="K23" s="28">
        <v>7.6</v>
      </c>
      <c r="L23" s="62"/>
    </row>
    <row r="24" spans="2:12" x14ac:dyDescent="0.2">
      <c r="B24" s="22" t="s">
        <v>89</v>
      </c>
      <c r="C24" s="28">
        <v>5.8</v>
      </c>
      <c r="D24" s="28"/>
      <c r="E24" s="28">
        <v>6.4</v>
      </c>
      <c r="F24" s="28"/>
      <c r="G24" s="28">
        <v>6.8</v>
      </c>
      <c r="H24" s="28"/>
      <c r="I24" s="28">
        <v>7.1</v>
      </c>
      <c r="J24" s="28"/>
      <c r="K24" s="28">
        <v>7.6</v>
      </c>
      <c r="L24" s="62"/>
    </row>
    <row r="25" spans="2:12" x14ac:dyDescent="0.2">
      <c r="B25" s="22" t="s">
        <v>90</v>
      </c>
      <c r="C25" s="28">
        <v>5.2</v>
      </c>
      <c r="D25" s="28"/>
      <c r="E25" s="28">
        <v>5.9</v>
      </c>
      <c r="F25" s="28"/>
      <c r="G25" s="28">
        <v>6.6</v>
      </c>
      <c r="H25" s="28"/>
      <c r="I25" s="28">
        <v>6.9</v>
      </c>
      <c r="J25" s="28"/>
      <c r="K25" s="28">
        <v>7.5</v>
      </c>
      <c r="L25" s="62"/>
    </row>
    <row r="26" spans="2:12" x14ac:dyDescent="0.2">
      <c r="B26" s="22" t="s">
        <v>91</v>
      </c>
      <c r="C26" s="28">
        <v>6.7</v>
      </c>
      <c r="D26" s="28"/>
      <c r="E26" s="28">
        <v>7.3</v>
      </c>
      <c r="F26" s="28"/>
      <c r="G26" s="28">
        <v>7.6</v>
      </c>
      <c r="H26" s="28"/>
      <c r="I26" s="28">
        <v>7.9</v>
      </c>
      <c r="J26" s="28"/>
      <c r="K26" s="48">
        <v>8</v>
      </c>
      <c r="L26" s="61"/>
    </row>
    <row r="27" spans="2:12" x14ac:dyDescent="0.2">
      <c r="B27" s="22" t="s">
        <v>92</v>
      </c>
      <c r="C27" s="28">
        <v>5.6</v>
      </c>
      <c r="D27" s="28"/>
      <c r="E27" s="28">
        <v>6.1</v>
      </c>
      <c r="F27" s="28"/>
      <c r="G27" s="28">
        <v>6.5</v>
      </c>
      <c r="H27" s="28"/>
      <c r="I27" s="28">
        <v>6.7</v>
      </c>
      <c r="J27" s="28"/>
      <c r="K27" s="28">
        <v>7.1</v>
      </c>
      <c r="L27" s="62"/>
    </row>
    <row r="28" spans="2:12" x14ac:dyDescent="0.2">
      <c r="B28" s="22" t="s">
        <v>93</v>
      </c>
      <c r="C28" s="48">
        <v>7</v>
      </c>
      <c r="D28" s="48"/>
      <c r="E28" s="28">
        <v>7.2</v>
      </c>
      <c r="F28" s="28"/>
      <c r="G28" s="28">
        <v>7.6</v>
      </c>
      <c r="H28" s="28"/>
      <c r="I28" s="28">
        <v>7.5</v>
      </c>
      <c r="J28" s="28"/>
      <c r="K28" s="28">
        <v>7.8</v>
      </c>
      <c r="L28" s="62"/>
    </row>
    <row r="29" spans="2:12" x14ac:dyDescent="0.2">
      <c r="B29" s="22" t="s">
        <v>94</v>
      </c>
      <c r="C29" s="28">
        <v>7.2</v>
      </c>
      <c r="D29" s="28"/>
      <c r="E29" s="28">
        <v>7.5</v>
      </c>
      <c r="F29" s="28"/>
      <c r="G29" s="28">
        <v>7.8</v>
      </c>
      <c r="H29" s="28"/>
      <c r="I29" s="28">
        <v>7.9</v>
      </c>
      <c r="J29" s="28"/>
      <c r="K29" s="28">
        <v>8.1</v>
      </c>
      <c r="L29" s="62"/>
    </row>
    <row r="30" spans="2:12" x14ac:dyDescent="0.2">
      <c r="B30" s="22" t="s">
        <v>95</v>
      </c>
      <c r="C30" s="28">
        <v>7.4</v>
      </c>
      <c r="D30" s="28"/>
      <c r="E30" s="28">
        <v>7.7</v>
      </c>
      <c r="F30" s="28"/>
      <c r="G30" s="28">
        <v>7.9</v>
      </c>
      <c r="H30" s="28"/>
      <c r="I30" s="28">
        <v>8.1</v>
      </c>
      <c r="J30" s="28"/>
      <c r="K30" s="28">
        <v>8.4</v>
      </c>
      <c r="L30" s="62"/>
    </row>
    <row r="31" spans="2:12" x14ac:dyDescent="0.2">
      <c r="B31" s="22" t="s">
        <v>96</v>
      </c>
      <c r="C31" s="28">
        <v>7.2</v>
      </c>
      <c r="D31" s="28"/>
      <c r="E31" s="28">
        <v>7.6</v>
      </c>
      <c r="F31" s="28"/>
      <c r="G31" s="28">
        <v>7.8</v>
      </c>
      <c r="H31" s="28"/>
      <c r="I31" s="48">
        <v>8</v>
      </c>
      <c r="J31" s="48"/>
      <c r="K31" s="28">
        <v>8.1999999999999993</v>
      </c>
      <c r="L31" s="62"/>
    </row>
    <row r="32" spans="2:12" x14ac:dyDescent="0.2">
      <c r="B32" s="22" t="s">
        <v>97</v>
      </c>
      <c r="C32" s="28">
        <v>5.6</v>
      </c>
      <c r="D32" s="28"/>
      <c r="E32" s="28">
        <v>6.2</v>
      </c>
      <c r="F32" s="28"/>
      <c r="G32" s="28">
        <v>6.6</v>
      </c>
      <c r="H32" s="28"/>
      <c r="I32" s="28">
        <v>7.1</v>
      </c>
      <c r="J32" s="28"/>
      <c r="K32" s="28">
        <v>7.6</v>
      </c>
      <c r="L32" s="62"/>
    </row>
    <row r="33" spans="2:20" x14ac:dyDescent="0.2">
      <c r="B33" s="22" t="s">
        <v>98</v>
      </c>
      <c r="C33" s="28">
        <v>6.6</v>
      </c>
      <c r="D33" s="28"/>
      <c r="E33" s="48">
        <v>7</v>
      </c>
      <c r="F33" s="48"/>
      <c r="G33" s="28">
        <v>7.2</v>
      </c>
      <c r="H33" s="28"/>
      <c r="I33" s="28">
        <v>7.6</v>
      </c>
      <c r="J33" s="28"/>
      <c r="K33" s="28">
        <v>8.1</v>
      </c>
      <c r="L33" s="62"/>
    </row>
    <row r="34" spans="2:20" x14ac:dyDescent="0.2">
      <c r="B34" s="22" t="s">
        <v>99</v>
      </c>
      <c r="C34" s="28">
        <v>6.4</v>
      </c>
      <c r="D34" s="28"/>
      <c r="E34" s="28">
        <v>7.1</v>
      </c>
      <c r="F34" s="28"/>
      <c r="G34" s="28">
        <v>7.4</v>
      </c>
      <c r="H34" s="28"/>
      <c r="I34" s="28">
        <v>7.6</v>
      </c>
      <c r="J34" s="28"/>
      <c r="K34" s="48">
        <v>8</v>
      </c>
      <c r="L34" s="61"/>
    </row>
    <row r="35" spans="2:20" x14ac:dyDescent="0.2">
      <c r="B35" s="22" t="s">
        <v>100</v>
      </c>
      <c r="C35" s="32">
        <v>6.1</v>
      </c>
      <c r="D35" s="32"/>
      <c r="E35" s="32">
        <v>6.7</v>
      </c>
      <c r="F35" s="32"/>
      <c r="G35" s="32">
        <v>7.1</v>
      </c>
      <c r="H35" s="32"/>
      <c r="I35" s="32">
        <v>7.2</v>
      </c>
      <c r="J35" s="32"/>
      <c r="K35" s="32">
        <v>7.5</v>
      </c>
      <c r="L35" s="63"/>
    </row>
    <row r="36" spans="2:20" x14ac:dyDescent="0.2">
      <c r="B36" s="22" t="s">
        <v>101</v>
      </c>
      <c r="C36" s="28">
        <v>7.7</v>
      </c>
      <c r="D36" s="28"/>
      <c r="E36" s="48">
        <v>8</v>
      </c>
      <c r="F36" s="48"/>
      <c r="G36" s="28">
        <v>8.1</v>
      </c>
      <c r="H36" s="28"/>
      <c r="I36" s="28">
        <v>8.3000000000000007</v>
      </c>
      <c r="J36" s="28"/>
      <c r="K36" s="28">
        <v>8.5</v>
      </c>
      <c r="L36" s="62"/>
    </row>
    <row r="37" spans="2:20" x14ac:dyDescent="0.2">
      <c r="B37" s="23" t="s">
        <v>102</v>
      </c>
      <c r="C37" s="29">
        <v>7.1</v>
      </c>
      <c r="D37" s="29"/>
      <c r="E37" s="29">
        <v>7.6</v>
      </c>
      <c r="F37" s="29"/>
      <c r="G37" s="29">
        <v>7.9</v>
      </c>
      <c r="H37" s="29"/>
      <c r="I37" s="29">
        <v>8.1</v>
      </c>
      <c r="J37" s="29"/>
      <c r="K37" s="29">
        <v>8.3000000000000007</v>
      </c>
      <c r="L37" s="62"/>
    </row>
    <row r="38" spans="2:20" x14ac:dyDescent="0.2">
      <c r="B38" s="24" t="s">
        <v>103</v>
      </c>
      <c r="C38" s="57">
        <v>7</v>
      </c>
      <c r="D38" s="68" t="s">
        <v>145</v>
      </c>
      <c r="E38" s="33">
        <v>7.3</v>
      </c>
      <c r="F38" s="69" t="s">
        <v>145</v>
      </c>
      <c r="G38" s="33">
        <v>7.4</v>
      </c>
      <c r="H38" s="69" t="s">
        <v>145</v>
      </c>
      <c r="I38" s="33">
        <v>7.8</v>
      </c>
      <c r="J38" s="69" t="s">
        <v>145</v>
      </c>
      <c r="K38" s="57">
        <v>8</v>
      </c>
      <c r="L38" s="71" t="s">
        <v>145</v>
      </c>
      <c r="S38" s="34"/>
      <c r="T38" s="34"/>
    </row>
    <row r="39" spans="2:20" x14ac:dyDescent="0.2">
      <c r="B39" s="25" t="s">
        <v>105</v>
      </c>
      <c r="C39" s="31">
        <v>7.3</v>
      </c>
      <c r="D39" s="31"/>
      <c r="E39" s="31">
        <v>7.7</v>
      </c>
      <c r="F39" s="31"/>
      <c r="G39" s="31">
        <v>7.9</v>
      </c>
      <c r="H39" s="31"/>
      <c r="I39" s="50">
        <v>8</v>
      </c>
      <c r="J39" s="50"/>
      <c r="K39" s="31">
        <v>8.1</v>
      </c>
      <c r="L39" s="64"/>
    </row>
    <row r="40" spans="2:20" x14ac:dyDescent="0.2">
      <c r="B40" s="24" t="s">
        <v>106</v>
      </c>
      <c r="C40" s="30">
        <v>7.4</v>
      </c>
      <c r="D40" s="30"/>
      <c r="E40" s="30">
        <v>7.8</v>
      </c>
      <c r="F40" s="30"/>
      <c r="G40" s="49">
        <v>8</v>
      </c>
      <c r="H40" s="49"/>
      <c r="I40" s="30">
        <v>8.1</v>
      </c>
      <c r="J40" s="30"/>
      <c r="K40" s="30">
        <v>8.4</v>
      </c>
      <c r="L40" s="65"/>
    </row>
    <row r="41" spans="2:20" x14ac:dyDescent="0.2">
      <c r="B41" s="25"/>
      <c r="C41" s="25"/>
      <c r="D41" s="31"/>
      <c r="E41" s="31"/>
      <c r="F41" s="31"/>
      <c r="G41" s="50"/>
      <c r="H41" s="50"/>
      <c r="I41" s="31"/>
      <c r="J41" s="31"/>
      <c r="K41" s="31"/>
      <c r="L41" s="31"/>
    </row>
    <row r="42" spans="2:20" x14ac:dyDescent="0.2">
      <c r="B42" s="1" t="s">
        <v>144</v>
      </c>
    </row>
    <row r="43" spans="2:20" x14ac:dyDescent="0.2">
      <c r="B43" s="1" t="s">
        <v>107</v>
      </c>
    </row>
    <row r="46" spans="2:20" x14ac:dyDescent="0.2">
      <c r="B46" s="2"/>
      <c r="C46" s="2"/>
      <c r="D46" s="2"/>
      <c r="E46" s="2"/>
      <c r="F46" s="2"/>
    </row>
    <row r="47" spans="2:20" x14ac:dyDescent="0.2">
      <c r="B47" s="2"/>
      <c r="C47" s="2"/>
      <c r="D47" s="2"/>
      <c r="E47" s="2"/>
      <c r="F47" s="2"/>
    </row>
    <row r="48" spans="2:20" x14ac:dyDescent="0.2">
      <c r="B48" s="2"/>
      <c r="C48" s="2"/>
      <c r="D48" s="2"/>
      <c r="E48" s="2"/>
      <c r="F48" s="2"/>
    </row>
    <row r="49" spans="2:6" x14ac:dyDescent="0.2">
      <c r="B49" s="2"/>
      <c r="C49" s="2"/>
      <c r="D49" s="2"/>
      <c r="E49" s="2"/>
      <c r="F49" s="2"/>
    </row>
    <row r="50" spans="2:6" x14ac:dyDescent="0.2">
      <c r="B50" s="2"/>
      <c r="C50" s="2"/>
      <c r="D50" s="2"/>
      <c r="E50" s="2"/>
      <c r="F50" s="2"/>
    </row>
    <row r="51" spans="2:6" x14ac:dyDescent="0.2">
      <c r="B51" s="2"/>
      <c r="C51" s="2"/>
      <c r="D51" s="2"/>
      <c r="E51" s="2"/>
      <c r="F51" s="2"/>
    </row>
    <row r="52" spans="2:6" x14ac:dyDescent="0.2">
      <c r="B52" s="2"/>
      <c r="C52" s="2"/>
      <c r="D52" s="2"/>
      <c r="E52" s="2"/>
      <c r="F52" s="2"/>
    </row>
    <row r="53" spans="2:6" x14ac:dyDescent="0.2">
      <c r="B53" s="2"/>
      <c r="C53" s="2"/>
      <c r="D53" s="2"/>
      <c r="E53" s="2"/>
      <c r="F53" s="2"/>
    </row>
    <row r="54" spans="2:6" x14ac:dyDescent="0.2">
      <c r="B54" s="2"/>
      <c r="C54" s="2"/>
      <c r="D54" s="2"/>
      <c r="E54" s="2"/>
      <c r="F54" s="2"/>
    </row>
    <row r="55" spans="2:6" x14ac:dyDescent="0.2">
      <c r="B55" s="2"/>
      <c r="C55" s="2"/>
      <c r="D55" s="2"/>
      <c r="E55" s="2"/>
      <c r="F55" s="2"/>
    </row>
    <row r="56" spans="2:6" x14ac:dyDescent="0.2">
      <c r="B56" s="2"/>
      <c r="C56" s="2"/>
      <c r="D56" s="2"/>
      <c r="E56" s="2"/>
      <c r="F56" s="2"/>
    </row>
    <row r="57" spans="2:6" x14ac:dyDescent="0.2">
      <c r="B57" s="2"/>
      <c r="C57" s="2"/>
      <c r="D57" s="2"/>
      <c r="E57" s="2"/>
      <c r="F57" s="2"/>
    </row>
    <row r="58" spans="2:6" x14ac:dyDescent="0.2">
      <c r="B58" s="2"/>
      <c r="C58" s="2"/>
      <c r="D58" s="2"/>
      <c r="E58" s="2"/>
      <c r="F58" s="2"/>
    </row>
    <row r="59" spans="2:6" x14ac:dyDescent="0.2">
      <c r="B59" s="2"/>
      <c r="C59" s="2"/>
      <c r="D59" s="2"/>
      <c r="E59" s="2"/>
      <c r="F59" s="2"/>
    </row>
    <row r="60" spans="2:6" x14ac:dyDescent="0.2">
      <c r="B60" s="2"/>
      <c r="C60" s="2"/>
      <c r="D60" s="2"/>
      <c r="E60" s="2"/>
      <c r="F60" s="2"/>
    </row>
    <row r="61" spans="2:6" x14ac:dyDescent="0.2">
      <c r="B61" s="2"/>
      <c r="C61" s="2"/>
      <c r="D61" s="2"/>
      <c r="E61" s="2"/>
      <c r="F61" s="2"/>
    </row>
    <row r="62" spans="2:6" x14ac:dyDescent="0.2">
      <c r="B62" s="2"/>
      <c r="C62" s="2"/>
      <c r="D62" s="2"/>
      <c r="E62" s="2"/>
      <c r="F62" s="2"/>
    </row>
    <row r="63" spans="2:6" x14ac:dyDescent="0.2">
      <c r="B63" s="2"/>
      <c r="C63" s="2"/>
      <c r="D63" s="2"/>
      <c r="E63" s="2"/>
      <c r="F63" s="2"/>
    </row>
    <row r="64" spans="2:6" x14ac:dyDescent="0.2">
      <c r="B64" s="2"/>
      <c r="C64" s="2"/>
      <c r="D64" s="2"/>
      <c r="E64" s="2"/>
      <c r="F64" s="2"/>
    </row>
    <row r="65" spans="2:13" x14ac:dyDescent="0.2">
      <c r="B65" s="2"/>
      <c r="C65" s="2"/>
      <c r="D65" s="2"/>
      <c r="E65" s="2"/>
      <c r="F65" s="2"/>
    </row>
    <row r="66" spans="2:13" x14ac:dyDescent="0.2">
      <c r="B66" s="2"/>
      <c r="C66" s="2"/>
      <c r="D66" s="2"/>
      <c r="E66" s="2"/>
      <c r="F66" s="2"/>
    </row>
    <row r="67" spans="2:13" x14ac:dyDescent="0.2">
      <c r="B67" s="2"/>
      <c r="C67" s="2"/>
      <c r="D67" s="2"/>
      <c r="E67" s="2"/>
      <c r="F67" s="2"/>
    </row>
    <row r="68" spans="2:13" x14ac:dyDescent="0.2">
      <c r="B68" s="2"/>
      <c r="C68" s="2"/>
      <c r="D68" s="2"/>
      <c r="E68" s="2"/>
      <c r="F68" s="2"/>
    </row>
    <row r="69" spans="2:13" x14ac:dyDescent="0.2">
      <c r="B69" s="2"/>
      <c r="C69" s="2"/>
      <c r="D69" s="2"/>
      <c r="E69" s="2"/>
      <c r="F69" s="2"/>
    </row>
    <row r="70" spans="2:13" x14ac:dyDescent="0.2">
      <c r="B70" s="2"/>
      <c r="C70" s="2"/>
      <c r="D70" s="2"/>
      <c r="E70" s="2"/>
      <c r="F70" s="2"/>
    </row>
    <row r="71" spans="2:13" x14ac:dyDescent="0.2">
      <c r="B71" s="2"/>
      <c r="C71" s="2"/>
      <c r="D71" s="2"/>
      <c r="E71" s="2"/>
      <c r="F71" s="2"/>
    </row>
    <row r="72" spans="2:13" x14ac:dyDescent="0.2">
      <c r="B72" s="2"/>
      <c r="C72" s="2"/>
      <c r="D72" s="2"/>
      <c r="E72" s="2"/>
      <c r="F72" s="2"/>
    </row>
    <row r="73" spans="2:13" x14ac:dyDescent="0.2">
      <c r="B73" s="2"/>
      <c r="C73" s="2"/>
      <c r="D73" s="2"/>
      <c r="E73" s="2"/>
      <c r="F73" s="2"/>
    </row>
    <row r="74" spans="2:13" x14ac:dyDescent="0.2">
      <c r="B74" s="2"/>
      <c r="C74" s="2"/>
      <c r="D74" s="2"/>
      <c r="E74" s="2"/>
      <c r="F74" s="2"/>
    </row>
    <row r="75" spans="2:13" x14ac:dyDescent="0.2">
      <c r="B75" s="2"/>
      <c r="C75" s="2"/>
      <c r="D75" s="2"/>
      <c r="E75" s="2"/>
      <c r="F75" s="2"/>
    </row>
    <row r="76" spans="2:13" x14ac:dyDescent="0.2">
      <c r="B76" s="2"/>
      <c r="C76" s="2"/>
      <c r="D76" s="2"/>
      <c r="E76" s="2"/>
      <c r="F76" s="2"/>
      <c r="M76" s="1" t="s">
        <v>69</v>
      </c>
    </row>
    <row r="77" spans="2:13" x14ac:dyDescent="0.2">
      <c r="B77" s="2"/>
      <c r="C77" s="2"/>
      <c r="D77" s="2"/>
      <c r="E77" s="2"/>
      <c r="F77" s="2"/>
      <c r="M77" s="5" t="s">
        <v>51</v>
      </c>
    </row>
    <row r="78" spans="2:13" x14ac:dyDescent="0.2">
      <c r="B78" s="2"/>
      <c r="C78" s="2"/>
      <c r="D78" s="2"/>
      <c r="E78" s="2"/>
      <c r="F7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4"/>
  <sheetViews>
    <sheetView showGridLines="0" zoomScaleNormal="100" workbookViewId="0">
      <selection activeCell="R16" sqref="R16"/>
    </sheetView>
  </sheetViews>
  <sheetFormatPr defaultRowHeight="12" x14ac:dyDescent="0.2"/>
  <cols>
    <col min="1" max="1" width="9.140625" style="1"/>
    <col min="2" max="3" width="17.7109375" style="1" customWidth="1"/>
    <col min="4" max="4" width="5.5703125" style="1" customWidth="1"/>
    <col min="5" max="5" width="17.85546875" style="1" customWidth="1"/>
    <col min="6" max="6" width="5" style="1" customWidth="1"/>
    <col min="7" max="7" width="17.7109375" style="1" customWidth="1"/>
    <col min="8" max="8" width="5.42578125" style="1" customWidth="1"/>
    <col min="9" max="9" width="17.7109375" style="1" customWidth="1"/>
    <col min="10" max="10" width="5.28515625" style="1" customWidth="1"/>
    <col min="11" max="11" width="17.7109375" style="1" customWidth="1"/>
    <col min="12" max="12" width="6" style="1" customWidth="1"/>
    <col min="13" max="16384" width="9.140625" style="1"/>
  </cols>
  <sheetData>
    <row r="3" spans="1:12" x14ac:dyDescent="0.2">
      <c r="A3" s="2"/>
      <c r="B3" s="47" t="s">
        <v>119</v>
      </c>
      <c r="C3" s="47"/>
      <c r="D3" s="47"/>
      <c r="E3" s="2"/>
      <c r="F3" s="2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2"/>
      <c r="B5" s="2"/>
      <c r="C5" s="2"/>
      <c r="D5" s="2"/>
      <c r="E5" s="2"/>
      <c r="F5" s="2"/>
    </row>
    <row r="6" spans="1:12" x14ac:dyDescent="0.2">
      <c r="A6" s="2"/>
      <c r="B6" s="44" t="s">
        <v>117</v>
      </c>
      <c r="C6" s="44"/>
      <c r="D6" s="44"/>
      <c r="E6" s="2"/>
      <c r="F6" s="2"/>
    </row>
    <row r="7" spans="1:12" x14ac:dyDescent="0.2">
      <c r="A7" s="2"/>
      <c r="B7" s="2"/>
      <c r="C7" s="2"/>
      <c r="D7" s="2"/>
      <c r="E7" s="2"/>
      <c r="F7" s="2"/>
    </row>
    <row r="9" spans="1:12" ht="12" customHeight="1" x14ac:dyDescent="0.2">
      <c r="B9" s="19"/>
      <c r="C9" s="19" t="s">
        <v>53</v>
      </c>
      <c r="D9" s="19"/>
      <c r="E9" s="19" t="s">
        <v>54</v>
      </c>
      <c r="F9" s="19"/>
      <c r="G9" s="19" t="s">
        <v>55</v>
      </c>
      <c r="H9" s="19"/>
      <c r="I9" s="19" t="s">
        <v>109</v>
      </c>
      <c r="J9" s="19"/>
      <c r="K9" s="19" t="s">
        <v>110</v>
      </c>
      <c r="L9" s="73"/>
    </row>
    <row r="10" spans="1:12" ht="12" customHeight="1" x14ac:dyDescent="0.2">
      <c r="B10" s="36"/>
      <c r="C10" s="36"/>
      <c r="D10" s="36"/>
      <c r="E10" s="36"/>
      <c r="F10" s="36"/>
      <c r="G10" s="36"/>
      <c r="H10" s="36"/>
      <c r="I10" s="36" t="s">
        <v>108</v>
      </c>
      <c r="J10" s="36"/>
      <c r="K10" s="36" t="s">
        <v>108</v>
      </c>
      <c r="L10" s="74"/>
    </row>
    <row r="11" spans="1:12" x14ac:dyDescent="0.2">
      <c r="B11" s="20" t="s">
        <v>28</v>
      </c>
      <c r="C11" s="26">
        <v>6.8</v>
      </c>
      <c r="D11" s="26"/>
      <c r="E11" s="26">
        <v>7.4</v>
      </c>
      <c r="F11" s="26"/>
      <c r="G11" s="26">
        <v>7.1</v>
      </c>
      <c r="H11" s="26"/>
      <c r="I11" s="26">
        <v>7.5</v>
      </c>
      <c r="J11" s="26"/>
      <c r="K11" s="26">
        <v>7.2</v>
      </c>
      <c r="L11" s="60"/>
    </row>
    <row r="12" spans="1:12" ht="12" customHeight="1" x14ac:dyDescent="0.2">
      <c r="B12" s="21" t="s">
        <v>77</v>
      </c>
      <c r="C12" s="27">
        <v>7.1</v>
      </c>
      <c r="D12" s="27"/>
      <c r="E12" s="27">
        <v>7.6</v>
      </c>
      <c r="F12" s="27"/>
      <c r="G12" s="27">
        <v>7.5</v>
      </c>
      <c r="H12" s="27"/>
      <c r="I12" s="27">
        <v>7.6</v>
      </c>
      <c r="J12" s="27"/>
      <c r="K12" s="27">
        <v>7.4</v>
      </c>
      <c r="L12" s="75"/>
    </row>
    <row r="13" spans="1:12" x14ac:dyDescent="0.2">
      <c r="B13" s="22" t="s">
        <v>78</v>
      </c>
      <c r="C13" s="28">
        <v>4.5999999999999996</v>
      </c>
      <c r="D13" s="28"/>
      <c r="E13" s="28">
        <v>5.0999999999999996</v>
      </c>
      <c r="F13" s="28"/>
      <c r="G13" s="28">
        <v>5.4</v>
      </c>
      <c r="H13" s="28"/>
      <c r="I13" s="28">
        <v>5.8</v>
      </c>
      <c r="J13" s="28"/>
      <c r="K13" s="48">
        <v>5</v>
      </c>
      <c r="L13" s="76"/>
    </row>
    <row r="14" spans="1:12" x14ac:dyDescent="0.2">
      <c r="B14" s="22" t="s">
        <v>79</v>
      </c>
      <c r="C14" s="28">
        <v>6.9</v>
      </c>
      <c r="D14" s="28"/>
      <c r="E14" s="28">
        <v>7.4</v>
      </c>
      <c r="F14" s="28"/>
      <c r="G14" s="28">
        <v>7.4</v>
      </c>
      <c r="H14" s="28"/>
      <c r="I14" s="28">
        <v>7.8</v>
      </c>
      <c r="J14" s="28"/>
      <c r="K14" s="28">
        <v>7.2</v>
      </c>
      <c r="L14" s="77"/>
    </row>
    <row r="15" spans="1:12" x14ac:dyDescent="0.2">
      <c r="B15" s="22" t="s">
        <v>80</v>
      </c>
      <c r="C15" s="28">
        <v>7.3</v>
      </c>
      <c r="D15" s="28"/>
      <c r="E15" s="28">
        <v>8.1</v>
      </c>
      <c r="F15" s="28"/>
      <c r="G15" s="28">
        <v>7.5</v>
      </c>
      <c r="H15" s="28"/>
      <c r="I15" s="28">
        <v>7.8</v>
      </c>
      <c r="J15" s="28"/>
      <c r="K15" s="28">
        <v>7.7</v>
      </c>
      <c r="L15" s="77"/>
    </row>
    <row r="16" spans="1:12" x14ac:dyDescent="0.2">
      <c r="B16" s="22" t="s">
        <v>81</v>
      </c>
      <c r="C16" s="28">
        <v>6.8</v>
      </c>
      <c r="D16" s="28"/>
      <c r="E16" s="28">
        <v>7.4</v>
      </c>
      <c r="F16" s="28"/>
      <c r="G16" s="28">
        <v>7.3</v>
      </c>
      <c r="H16" s="28"/>
      <c r="I16" s="28">
        <v>7.6</v>
      </c>
      <c r="J16" s="28"/>
      <c r="K16" s="28">
        <v>7.2</v>
      </c>
      <c r="L16" s="77"/>
    </row>
    <row r="17" spans="2:12" x14ac:dyDescent="0.2">
      <c r="B17" s="22" t="s">
        <v>82</v>
      </c>
      <c r="C17" s="28">
        <v>6.6</v>
      </c>
      <c r="D17" s="28"/>
      <c r="E17" s="28">
        <v>6.9</v>
      </c>
      <c r="F17" s="28"/>
      <c r="G17" s="28">
        <v>6.8</v>
      </c>
      <c r="H17" s="28"/>
      <c r="I17" s="28">
        <v>7.4</v>
      </c>
      <c r="J17" s="28"/>
      <c r="K17" s="28">
        <v>6.7</v>
      </c>
      <c r="L17" s="77"/>
    </row>
    <row r="18" spans="2:12" x14ac:dyDescent="0.2">
      <c r="B18" s="22" t="s">
        <v>104</v>
      </c>
      <c r="C18" s="32">
        <v>7.7</v>
      </c>
      <c r="D18" s="67" t="s">
        <v>145</v>
      </c>
      <c r="E18" s="32">
        <v>8.1999999999999993</v>
      </c>
      <c r="F18" s="67" t="s">
        <v>145</v>
      </c>
      <c r="G18" s="32">
        <v>8.1</v>
      </c>
      <c r="H18" s="67" t="s">
        <v>145</v>
      </c>
      <c r="I18" s="32">
        <v>7.9</v>
      </c>
      <c r="J18" s="67" t="s">
        <v>145</v>
      </c>
      <c r="K18" s="58">
        <v>8</v>
      </c>
      <c r="L18" s="80" t="s">
        <v>145</v>
      </c>
    </row>
    <row r="19" spans="2:12" x14ac:dyDescent="0.2">
      <c r="B19" s="22" t="s">
        <v>83</v>
      </c>
      <c r="C19" s="48">
        <v>6</v>
      </c>
      <c r="D19" s="48"/>
      <c r="E19" s="28">
        <v>6.4</v>
      </c>
      <c r="F19" s="28"/>
      <c r="G19" s="28">
        <v>6.2</v>
      </c>
      <c r="H19" s="28"/>
      <c r="I19" s="28">
        <v>6.7</v>
      </c>
      <c r="J19" s="28"/>
      <c r="K19" s="28">
        <v>6.2</v>
      </c>
      <c r="L19" s="77"/>
    </row>
    <row r="20" spans="2:12" x14ac:dyDescent="0.2">
      <c r="B20" s="22" t="s">
        <v>84</v>
      </c>
      <c r="C20" s="48">
        <v>7</v>
      </c>
      <c r="D20" s="48"/>
      <c r="E20" s="28">
        <v>7.2</v>
      </c>
      <c r="F20" s="28"/>
      <c r="G20" s="48">
        <v>7</v>
      </c>
      <c r="H20" s="48"/>
      <c r="I20" s="28">
        <v>7.5</v>
      </c>
      <c r="J20" s="28"/>
      <c r="K20" s="28">
        <v>7.1</v>
      </c>
      <c r="L20" s="77"/>
    </row>
    <row r="21" spans="2:12" x14ac:dyDescent="0.2">
      <c r="B21" s="22" t="s">
        <v>85</v>
      </c>
      <c r="C21" s="28">
        <v>6.8</v>
      </c>
      <c r="D21" s="28"/>
      <c r="E21" s="28">
        <v>7.4</v>
      </c>
      <c r="F21" s="28"/>
      <c r="G21" s="28">
        <v>7.3</v>
      </c>
      <c r="H21" s="28"/>
      <c r="I21" s="28">
        <v>7.5</v>
      </c>
      <c r="J21" s="28"/>
      <c r="K21" s="28">
        <v>7.1</v>
      </c>
      <c r="L21" s="77"/>
    </row>
    <row r="22" spans="2:12" x14ac:dyDescent="0.2">
      <c r="B22" s="22" t="s">
        <v>86</v>
      </c>
      <c r="C22" s="28">
        <v>5.5</v>
      </c>
      <c r="D22" s="28"/>
      <c r="E22" s="28">
        <v>6.1</v>
      </c>
      <c r="F22" s="28"/>
      <c r="G22" s="28">
        <v>6.2</v>
      </c>
      <c r="H22" s="28"/>
      <c r="I22" s="48">
        <v>7</v>
      </c>
      <c r="J22" s="48"/>
      <c r="K22" s="28">
        <v>5.9</v>
      </c>
      <c r="L22" s="77"/>
    </row>
    <row r="23" spans="2:12" x14ac:dyDescent="0.2">
      <c r="B23" s="22" t="s">
        <v>87</v>
      </c>
      <c r="C23" s="28">
        <v>6.7</v>
      </c>
      <c r="D23" s="28"/>
      <c r="E23" s="48">
        <v>7</v>
      </c>
      <c r="F23" s="48"/>
      <c r="G23" s="48">
        <v>7</v>
      </c>
      <c r="H23" s="48"/>
      <c r="I23" s="28">
        <v>7.3</v>
      </c>
      <c r="J23" s="28"/>
      <c r="K23" s="28">
        <v>6.9</v>
      </c>
      <c r="L23" s="77"/>
    </row>
    <row r="24" spans="2:12" x14ac:dyDescent="0.2">
      <c r="B24" s="22" t="s">
        <v>88</v>
      </c>
      <c r="C24" s="28">
        <v>6.8</v>
      </c>
      <c r="D24" s="28"/>
      <c r="E24" s="28">
        <v>6.9</v>
      </c>
      <c r="F24" s="28"/>
      <c r="G24" s="28">
        <v>6.8</v>
      </c>
      <c r="H24" s="28"/>
      <c r="I24" s="28">
        <v>7.2</v>
      </c>
      <c r="J24" s="28"/>
      <c r="K24" s="28">
        <v>6.8</v>
      </c>
      <c r="L24" s="77"/>
    </row>
    <row r="25" spans="2:12" x14ac:dyDescent="0.2">
      <c r="B25" s="22" t="s">
        <v>89</v>
      </c>
      <c r="C25" s="28">
        <v>6.2</v>
      </c>
      <c r="D25" s="28"/>
      <c r="E25" s="28">
        <v>6.5</v>
      </c>
      <c r="F25" s="28"/>
      <c r="G25" s="28">
        <v>6.6</v>
      </c>
      <c r="H25" s="28"/>
      <c r="I25" s="28">
        <v>7.1</v>
      </c>
      <c r="J25" s="28"/>
      <c r="K25" s="28">
        <v>6.4</v>
      </c>
      <c r="L25" s="77"/>
    </row>
    <row r="26" spans="2:12" x14ac:dyDescent="0.2">
      <c r="B26" s="22" t="s">
        <v>90</v>
      </c>
      <c r="C26" s="28">
        <v>5.8</v>
      </c>
      <c r="D26" s="28"/>
      <c r="E26" s="28">
        <v>6.2</v>
      </c>
      <c r="F26" s="28"/>
      <c r="G26" s="28">
        <v>6.4</v>
      </c>
      <c r="H26" s="28"/>
      <c r="I26" s="28">
        <v>6.9</v>
      </c>
      <c r="J26" s="28"/>
      <c r="K26" s="48">
        <v>6</v>
      </c>
      <c r="L26" s="76"/>
    </row>
    <row r="27" spans="2:12" x14ac:dyDescent="0.2">
      <c r="B27" s="22" t="s">
        <v>91</v>
      </c>
      <c r="C27" s="28">
        <v>7.2</v>
      </c>
      <c r="D27" s="28"/>
      <c r="E27" s="28">
        <v>7.7</v>
      </c>
      <c r="F27" s="28"/>
      <c r="G27" s="28">
        <v>7.6</v>
      </c>
      <c r="H27" s="28"/>
      <c r="I27" s="28">
        <v>7.5</v>
      </c>
      <c r="J27" s="28"/>
      <c r="K27" s="28">
        <v>7.5</v>
      </c>
      <c r="L27" s="77"/>
    </row>
    <row r="28" spans="2:12" x14ac:dyDescent="0.2">
      <c r="B28" s="22" t="s">
        <v>92</v>
      </c>
      <c r="C28" s="28">
        <v>5.8</v>
      </c>
      <c r="D28" s="28"/>
      <c r="E28" s="28">
        <v>6.3</v>
      </c>
      <c r="F28" s="28"/>
      <c r="G28" s="28">
        <v>6.4</v>
      </c>
      <c r="H28" s="28"/>
      <c r="I28" s="28">
        <v>6.8</v>
      </c>
      <c r="J28" s="28"/>
      <c r="K28" s="28">
        <v>6.1</v>
      </c>
      <c r="L28" s="77"/>
    </row>
    <row r="29" spans="2:12" x14ac:dyDescent="0.2">
      <c r="B29" s="22" t="s">
        <v>93</v>
      </c>
      <c r="C29" s="28">
        <v>7.4</v>
      </c>
      <c r="D29" s="28"/>
      <c r="E29" s="28">
        <v>7.5</v>
      </c>
      <c r="F29" s="28"/>
      <c r="G29" s="28">
        <v>7.3</v>
      </c>
      <c r="H29" s="28"/>
      <c r="I29" s="28">
        <v>7.5</v>
      </c>
      <c r="J29" s="28"/>
      <c r="K29" s="28">
        <v>7.4</v>
      </c>
      <c r="L29" s="77"/>
    </row>
    <row r="30" spans="2:12" x14ac:dyDescent="0.2">
      <c r="B30" s="22" t="s">
        <v>94</v>
      </c>
      <c r="C30" s="28">
        <v>7.2</v>
      </c>
      <c r="D30" s="28"/>
      <c r="E30" s="28">
        <v>7.9</v>
      </c>
      <c r="F30" s="28"/>
      <c r="G30" s="28">
        <v>7.6</v>
      </c>
      <c r="H30" s="28"/>
      <c r="I30" s="28">
        <v>7.8</v>
      </c>
      <c r="J30" s="28"/>
      <c r="K30" s="28">
        <v>7.6</v>
      </c>
      <c r="L30" s="77"/>
    </row>
    <row r="31" spans="2:12" x14ac:dyDescent="0.2">
      <c r="B31" s="22" t="s">
        <v>95</v>
      </c>
      <c r="C31" s="28">
        <v>7.6</v>
      </c>
      <c r="D31" s="28"/>
      <c r="E31" s="48">
        <v>8</v>
      </c>
      <c r="F31" s="48"/>
      <c r="G31" s="28">
        <v>7.9</v>
      </c>
      <c r="H31" s="28"/>
      <c r="I31" s="28">
        <v>8.1</v>
      </c>
      <c r="J31" s="28"/>
      <c r="K31" s="28">
        <v>7.8</v>
      </c>
      <c r="L31" s="77"/>
    </row>
    <row r="32" spans="2:12" x14ac:dyDescent="0.2">
      <c r="B32" s="22" t="s">
        <v>96</v>
      </c>
      <c r="C32" s="28">
        <v>7.1</v>
      </c>
      <c r="D32" s="28"/>
      <c r="E32" s="28">
        <v>7.8</v>
      </c>
      <c r="F32" s="28"/>
      <c r="G32" s="28">
        <v>7.7</v>
      </c>
      <c r="H32" s="28"/>
      <c r="I32" s="28">
        <v>8.1</v>
      </c>
      <c r="J32" s="28"/>
      <c r="K32" s="28">
        <v>7.6</v>
      </c>
      <c r="L32" s="77"/>
    </row>
    <row r="33" spans="2:12" x14ac:dyDescent="0.2">
      <c r="B33" s="22" t="s">
        <v>97</v>
      </c>
      <c r="C33" s="48">
        <v>6</v>
      </c>
      <c r="D33" s="48"/>
      <c r="E33" s="28">
        <v>6.5</v>
      </c>
      <c r="F33" s="28"/>
      <c r="G33" s="28">
        <v>6.4</v>
      </c>
      <c r="H33" s="28"/>
      <c r="I33" s="28">
        <v>7.2</v>
      </c>
      <c r="J33" s="28"/>
      <c r="K33" s="28">
        <v>6.3</v>
      </c>
      <c r="L33" s="77"/>
    </row>
    <row r="34" spans="2:12" x14ac:dyDescent="0.2">
      <c r="B34" s="22" t="s">
        <v>98</v>
      </c>
      <c r="C34" s="28">
        <v>6.5</v>
      </c>
      <c r="D34" s="28"/>
      <c r="E34" s="28">
        <v>7.2</v>
      </c>
      <c r="F34" s="28"/>
      <c r="G34" s="28">
        <v>7.4</v>
      </c>
      <c r="H34" s="28"/>
      <c r="I34" s="28">
        <v>7.6</v>
      </c>
      <c r="J34" s="28"/>
      <c r="K34" s="28">
        <v>7.1</v>
      </c>
      <c r="L34" s="77"/>
    </row>
    <row r="35" spans="2:12" x14ac:dyDescent="0.2">
      <c r="B35" s="22" t="s">
        <v>99</v>
      </c>
      <c r="C35" s="28">
        <v>6.6</v>
      </c>
      <c r="D35" s="28"/>
      <c r="E35" s="28">
        <v>7.1</v>
      </c>
      <c r="F35" s="28"/>
      <c r="G35" s="48">
        <v>7</v>
      </c>
      <c r="H35" s="48"/>
      <c r="I35" s="28">
        <v>7.7</v>
      </c>
      <c r="J35" s="28"/>
      <c r="K35" s="48">
        <v>7</v>
      </c>
      <c r="L35" s="76"/>
    </row>
    <row r="36" spans="2:12" x14ac:dyDescent="0.2">
      <c r="B36" s="22" t="s">
        <v>100</v>
      </c>
      <c r="C36" s="32">
        <v>6.4</v>
      </c>
      <c r="D36" s="32"/>
      <c r="E36" s="32">
        <v>6.7</v>
      </c>
      <c r="F36" s="32"/>
      <c r="G36" s="32">
        <v>6.8</v>
      </c>
      <c r="H36" s="32"/>
      <c r="I36" s="32">
        <v>7.2</v>
      </c>
      <c r="J36" s="32"/>
      <c r="K36" s="32">
        <v>6.7</v>
      </c>
      <c r="L36" s="78"/>
    </row>
    <row r="37" spans="2:12" x14ac:dyDescent="0.2">
      <c r="B37" s="22" t="s">
        <v>101</v>
      </c>
      <c r="C37" s="28">
        <v>7.7</v>
      </c>
      <c r="D37" s="28"/>
      <c r="E37" s="28">
        <v>8.1999999999999993</v>
      </c>
      <c r="F37" s="28"/>
      <c r="G37" s="28">
        <v>8.1999999999999993</v>
      </c>
      <c r="H37" s="28"/>
      <c r="I37" s="28">
        <v>8.3000000000000007</v>
      </c>
      <c r="J37" s="28"/>
      <c r="K37" s="48">
        <v>8</v>
      </c>
      <c r="L37" s="76"/>
    </row>
    <row r="38" spans="2:12" x14ac:dyDescent="0.2">
      <c r="B38" s="23" t="s">
        <v>102</v>
      </c>
      <c r="C38" s="29">
        <v>7.2</v>
      </c>
      <c r="D38" s="29"/>
      <c r="E38" s="29">
        <v>8.1</v>
      </c>
      <c r="F38" s="29"/>
      <c r="G38" s="29">
        <v>7.8</v>
      </c>
      <c r="H38" s="29"/>
      <c r="I38" s="29">
        <v>7.9</v>
      </c>
      <c r="J38" s="29"/>
      <c r="K38" s="29">
        <v>7.7</v>
      </c>
      <c r="L38" s="77"/>
    </row>
    <row r="39" spans="2:12" x14ac:dyDescent="0.2">
      <c r="B39" s="24" t="s">
        <v>103</v>
      </c>
      <c r="C39" s="33">
        <v>7.2</v>
      </c>
      <c r="D39" s="69" t="s">
        <v>145</v>
      </c>
      <c r="E39" s="33">
        <v>7.8</v>
      </c>
      <c r="F39" s="69" t="s">
        <v>145</v>
      </c>
      <c r="G39" s="33">
        <v>7.5</v>
      </c>
      <c r="H39" s="69" t="s">
        <v>145</v>
      </c>
      <c r="I39" s="33">
        <v>7.4</v>
      </c>
      <c r="J39" s="69" t="s">
        <v>145</v>
      </c>
      <c r="K39" s="33">
        <v>7.5</v>
      </c>
      <c r="L39" s="81" t="s">
        <v>145</v>
      </c>
    </row>
    <row r="40" spans="2:12" x14ac:dyDescent="0.2">
      <c r="B40" s="25" t="s">
        <v>105</v>
      </c>
      <c r="C40" s="31">
        <v>7.3</v>
      </c>
      <c r="D40" s="31"/>
      <c r="E40" s="31">
        <v>7.9</v>
      </c>
      <c r="F40" s="31"/>
      <c r="G40" s="31">
        <v>7.7</v>
      </c>
      <c r="H40" s="31"/>
      <c r="I40" s="50">
        <v>8</v>
      </c>
      <c r="J40" s="50"/>
      <c r="K40" s="31">
        <v>7.6</v>
      </c>
      <c r="L40" s="64"/>
    </row>
    <row r="41" spans="2:12" x14ac:dyDescent="0.2">
      <c r="B41" s="24" t="s">
        <v>106</v>
      </c>
      <c r="C41" s="30">
        <v>7.5</v>
      </c>
      <c r="D41" s="30"/>
      <c r="E41" s="30">
        <v>8.1999999999999993</v>
      </c>
      <c r="F41" s="30"/>
      <c r="G41" s="30">
        <v>7.9</v>
      </c>
      <c r="H41" s="30"/>
      <c r="I41" s="49">
        <v>8</v>
      </c>
      <c r="J41" s="49"/>
      <c r="K41" s="30">
        <v>7.9</v>
      </c>
      <c r="L41" s="79"/>
    </row>
    <row r="42" spans="2:12" x14ac:dyDescent="0.2">
      <c r="B42" s="25"/>
      <c r="C42" s="31"/>
      <c r="D42" s="31"/>
      <c r="E42" s="31"/>
      <c r="F42" s="31"/>
      <c r="G42" s="31"/>
      <c r="H42" s="31"/>
      <c r="I42" s="50"/>
      <c r="J42" s="50"/>
      <c r="K42" s="31"/>
      <c r="L42" s="31"/>
    </row>
    <row r="43" spans="2:12" x14ac:dyDescent="0.2">
      <c r="B43" s="1" t="s">
        <v>144</v>
      </c>
    </row>
    <row r="44" spans="2:12" x14ac:dyDescent="0.2">
      <c r="B44" s="1" t="s">
        <v>107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zoomScaleNormal="100" workbookViewId="0">
      <selection activeCell="G44" sqref="G44"/>
    </sheetView>
  </sheetViews>
  <sheetFormatPr defaultRowHeight="12" x14ac:dyDescent="0.2"/>
  <cols>
    <col min="1" max="8" width="9.140625" style="1"/>
    <col min="9" max="9" width="16.28515625" style="1" customWidth="1"/>
    <col min="10" max="10" width="9.140625" style="12"/>
    <col min="11" max="16384" width="9.140625" style="1"/>
  </cols>
  <sheetData>
    <row r="1" spans="1:13" x14ac:dyDescent="0.2">
      <c r="A1" s="1" t="s">
        <v>47</v>
      </c>
    </row>
    <row r="2" spans="1:13" x14ac:dyDescent="0.2">
      <c r="A2" s="1" t="s">
        <v>48</v>
      </c>
    </row>
    <row r="4" spans="1:13" x14ac:dyDescent="0.2">
      <c r="B4" s="17" t="s">
        <v>0</v>
      </c>
      <c r="C4" s="17"/>
      <c r="D4" s="17"/>
      <c r="E4" s="17"/>
      <c r="J4" s="42" t="s">
        <v>49</v>
      </c>
      <c r="K4" s="17"/>
    </row>
    <row r="6" spans="1:13" x14ac:dyDescent="0.2">
      <c r="C6" s="2" t="s">
        <v>1</v>
      </c>
      <c r="D6" s="2" t="s">
        <v>2</v>
      </c>
      <c r="E6" s="2" t="s">
        <v>3</v>
      </c>
      <c r="F6" s="2" t="s">
        <v>4</v>
      </c>
      <c r="G6" s="2"/>
      <c r="J6" s="11" t="s">
        <v>37</v>
      </c>
      <c r="K6" s="2" t="s">
        <v>38</v>
      </c>
      <c r="L6" s="2" t="s">
        <v>39</v>
      </c>
      <c r="M6" s="2" t="s">
        <v>154</v>
      </c>
    </row>
    <row r="7" spans="1:13" x14ac:dyDescent="0.2">
      <c r="B7" s="2" t="s">
        <v>6</v>
      </c>
      <c r="C7" s="1">
        <v>8.6</v>
      </c>
      <c r="D7" s="1">
        <v>70.2</v>
      </c>
      <c r="E7" s="1">
        <v>21.2</v>
      </c>
      <c r="F7" s="1">
        <v>7.6</v>
      </c>
      <c r="I7" s="2" t="s">
        <v>28</v>
      </c>
      <c r="J7" s="11">
        <f>16.2/100</f>
        <v>0.16200000000000001</v>
      </c>
      <c r="K7" s="11">
        <f>58.4/100</f>
        <v>0.58399999999999996</v>
      </c>
      <c r="L7" s="11">
        <f>25.4/100</f>
        <v>0.254</v>
      </c>
      <c r="M7" s="54">
        <v>7.3</v>
      </c>
    </row>
    <row r="8" spans="1:13" x14ac:dyDescent="0.2">
      <c r="B8" s="2" t="s">
        <v>7</v>
      </c>
      <c r="C8" s="1">
        <v>54</v>
      </c>
      <c r="D8" s="1">
        <v>36.6</v>
      </c>
      <c r="E8" s="1">
        <v>9.5</v>
      </c>
      <c r="F8" s="1">
        <v>5.4</v>
      </c>
      <c r="K8" s="12"/>
      <c r="L8" s="12"/>
      <c r="M8" s="10"/>
    </row>
    <row r="9" spans="1:13" x14ac:dyDescent="0.2">
      <c r="B9" s="2" t="s">
        <v>19</v>
      </c>
      <c r="C9" s="1">
        <v>18</v>
      </c>
      <c r="D9" s="1">
        <v>52.4</v>
      </c>
      <c r="E9" s="1">
        <v>29.5</v>
      </c>
      <c r="F9" s="1">
        <v>7.4</v>
      </c>
      <c r="I9" s="2" t="s">
        <v>78</v>
      </c>
      <c r="J9" s="46">
        <f>54/100</f>
        <v>0.54</v>
      </c>
      <c r="K9" s="46">
        <f>36.6/100</f>
        <v>0.36599999999999999</v>
      </c>
      <c r="L9" s="46">
        <f>9.5/100</f>
        <v>9.5000000000000001E-2</v>
      </c>
      <c r="M9" s="13">
        <v>5.4</v>
      </c>
    </row>
    <row r="10" spans="1:13" x14ac:dyDescent="0.2">
      <c r="B10" s="2" t="s">
        <v>24</v>
      </c>
      <c r="C10" s="1">
        <v>14.1</v>
      </c>
      <c r="D10" s="1">
        <v>44.6</v>
      </c>
      <c r="E10" s="1">
        <v>41.3</v>
      </c>
      <c r="F10" s="1">
        <v>7.8</v>
      </c>
      <c r="I10" s="2" t="s">
        <v>86</v>
      </c>
      <c r="J10" s="46">
        <f>36.8/100</f>
        <v>0.36799999999999999</v>
      </c>
      <c r="K10" s="46">
        <f>46.7/100</f>
        <v>0.46700000000000003</v>
      </c>
      <c r="L10" s="46">
        <f>16.5/100</f>
        <v>0.16500000000000001</v>
      </c>
      <c r="M10" s="13">
        <v>6.3</v>
      </c>
    </row>
    <row r="11" spans="1:13" x14ac:dyDescent="0.2">
      <c r="B11" s="2" t="s">
        <v>44</v>
      </c>
      <c r="C11" s="1">
        <v>17.2</v>
      </c>
      <c r="D11" s="1">
        <v>54.5</v>
      </c>
      <c r="E11" s="1">
        <v>28.3</v>
      </c>
      <c r="F11" s="1">
        <v>7.4</v>
      </c>
      <c r="I11" s="2" t="s">
        <v>83</v>
      </c>
      <c r="J11" s="46">
        <f>26.9/100</f>
        <v>0.26899999999999996</v>
      </c>
      <c r="K11" s="46">
        <f>59.6/100</f>
        <v>0.59599999999999997</v>
      </c>
      <c r="L11" s="46">
        <f>13.5/100</f>
        <v>0.13500000000000001</v>
      </c>
      <c r="M11" s="13">
        <v>6.4</v>
      </c>
    </row>
    <row r="12" spans="1:13" x14ac:dyDescent="0.2">
      <c r="B12" s="2" t="s">
        <v>9</v>
      </c>
      <c r="C12" s="1">
        <v>22.2</v>
      </c>
      <c r="D12" s="1">
        <v>58.4</v>
      </c>
      <c r="E12" s="1">
        <v>19.399999999999999</v>
      </c>
      <c r="F12" s="1">
        <v>7</v>
      </c>
      <c r="I12" s="2" t="s">
        <v>90</v>
      </c>
      <c r="J12" s="46">
        <f>36.2/100</f>
        <v>0.36200000000000004</v>
      </c>
      <c r="K12" s="46">
        <f>46.2/100</f>
        <v>0.46200000000000002</v>
      </c>
      <c r="L12" s="46">
        <f>17.6/100</f>
        <v>0.17600000000000002</v>
      </c>
      <c r="M12" s="13">
        <v>6.4</v>
      </c>
    </row>
    <row r="13" spans="1:13" x14ac:dyDescent="0.2">
      <c r="B13" s="2" t="s">
        <v>130</v>
      </c>
      <c r="C13" s="1">
        <v>9.4</v>
      </c>
      <c r="D13" s="1">
        <v>47.4</v>
      </c>
      <c r="E13" s="1">
        <v>43.2</v>
      </c>
      <c r="F13" s="1">
        <v>8.1</v>
      </c>
      <c r="I13" s="2" t="s">
        <v>92</v>
      </c>
      <c r="J13" s="46">
        <f>30.3/100</f>
        <v>0.30299999999999999</v>
      </c>
      <c r="K13" s="46">
        <f>56.6/100</f>
        <v>0.56600000000000006</v>
      </c>
      <c r="L13" s="46">
        <f>13.1/100</f>
        <v>0.13100000000000001</v>
      </c>
      <c r="M13" s="13">
        <v>6.5</v>
      </c>
    </row>
    <row r="14" spans="1:13" x14ac:dyDescent="0.2">
      <c r="B14" s="2" t="s">
        <v>10</v>
      </c>
      <c r="C14" s="1">
        <v>26.9</v>
      </c>
      <c r="D14" s="1">
        <v>59.6</v>
      </c>
      <c r="E14" s="1">
        <v>13.5</v>
      </c>
      <c r="F14" s="1">
        <v>6.4</v>
      </c>
      <c r="I14" s="2" t="s">
        <v>89</v>
      </c>
      <c r="J14" s="46">
        <f>26.4/100</f>
        <v>0.26400000000000001</v>
      </c>
      <c r="K14" s="46">
        <f>58.3/100</f>
        <v>0.58299999999999996</v>
      </c>
      <c r="L14" s="46">
        <f>15.3/100</f>
        <v>0.153</v>
      </c>
      <c r="M14" s="13">
        <v>6.7</v>
      </c>
    </row>
    <row r="15" spans="1:13" x14ac:dyDescent="0.2">
      <c r="B15" s="2" t="s">
        <v>11</v>
      </c>
      <c r="C15" s="1">
        <v>15.8</v>
      </c>
      <c r="D15" s="1">
        <v>59.8</v>
      </c>
      <c r="E15" s="1">
        <v>24.4</v>
      </c>
      <c r="F15" s="1">
        <v>7.3</v>
      </c>
      <c r="I15" s="2" t="s">
        <v>132</v>
      </c>
      <c r="J15" s="46">
        <f>30.1/100</f>
        <v>0.30099999999999999</v>
      </c>
      <c r="K15" s="46">
        <f>51.3/100</f>
        <v>0.51300000000000001</v>
      </c>
      <c r="L15" s="46">
        <f>18.6/100</f>
        <v>0.18600000000000003</v>
      </c>
      <c r="M15" s="13">
        <v>6.7</v>
      </c>
    </row>
    <row r="16" spans="1:13" x14ac:dyDescent="0.2">
      <c r="B16" s="2" t="s">
        <v>41</v>
      </c>
      <c r="C16" s="1">
        <v>15</v>
      </c>
      <c r="D16" s="1">
        <v>66.7</v>
      </c>
      <c r="E16" s="1">
        <v>18.3</v>
      </c>
      <c r="F16" s="1">
        <v>7.3</v>
      </c>
      <c r="I16" s="2" t="s">
        <v>82</v>
      </c>
      <c r="J16" s="46">
        <f>22.2/100</f>
        <v>0.222</v>
      </c>
      <c r="K16" s="46">
        <f>58.4/100</f>
        <v>0.58399999999999996</v>
      </c>
      <c r="L16" s="46">
        <f>19.4/100</f>
        <v>0.19399999999999998</v>
      </c>
      <c r="M16" s="13">
        <v>7</v>
      </c>
    </row>
    <row r="17" spans="2:13" x14ac:dyDescent="0.2">
      <c r="B17" s="2" t="s">
        <v>12</v>
      </c>
      <c r="C17" s="1">
        <v>36.799999999999997</v>
      </c>
      <c r="D17" s="1">
        <v>46.7</v>
      </c>
      <c r="E17" s="1">
        <v>16.5</v>
      </c>
      <c r="F17" s="1">
        <v>6.3</v>
      </c>
      <c r="I17" s="2" t="s">
        <v>87</v>
      </c>
      <c r="J17" s="46">
        <f>15.7/100</f>
        <v>0.157</v>
      </c>
      <c r="K17" s="46">
        <f>66.3/100</f>
        <v>0.66299999999999992</v>
      </c>
      <c r="L17" s="46">
        <f>18/100</f>
        <v>0.18</v>
      </c>
      <c r="M17" s="13">
        <v>7.1</v>
      </c>
    </row>
    <row r="18" spans="2:13" x14ac:dyDescent="0.2">
      <c r="B18" s="2" t="s">
        <v>21</v>
      </c>
      <c r="C18" s="1">
        <v>15.7</v>
      </c>
      <c r="D18" s="1">
        <v>66.3</v>
      </c>
      <c r="E18" s="1">
        <v>18</v>
      </c>
      <c r="F18" s="1">
        <v>7.1</v>
      </c>
      <c r="I18" s="2" t="s">
        <v>88</v>
      </c>
      <c r="J18" s="46">
        <f>20/100</f>
        <v>0.2</v>
      </c>
      <c r="K18" s="46">
        <f>57.7/100</f>
        <v>0.57700000000000007</v>
      </c>
      <c r="L18" s="46">
        <f>22.4/100</f>
        <v>0.22399999999999998</v>
      </c>
      <c r="M18" s="13">
        <v>7.1</v>
      </c>
    </row>
    <row r="19" spans="2:13" x14ac:dyDescent="0.2">
      <c r="B19" s="2" t="s">
        <v>8</v>
      </c>
      <c r="C19" s="1">
        <v>20</v>
      </c>
      <c r="D19" s="1">
        <v>57.7</v>
      </c>
      <c r="E19" s="1">
        <v>22.4</v>
      </c>
      <c r="F19" s="1">
        <v>7.1</v>
      </c>
      <c r="I19" s="2" t="s">
        <v>100</v>
      </c>
      <c r="J19" s="12">
        <f>25.3/100</f>
        <v>0.253</v>
      </c>
      <c r="K19" s="12">
        <f>47.2/100</f>
        <v>0.47200000000000003</v>
      </c>
      <c r="L19" s="12">
        <f>27.5/100</f>
        <v>0.27500000000000002</v>
      </c>
      <c r="M19" s="1">
        <v>7.1</v>
      </c>
    </row>
    <row r="20" spans="2:13" x14ac:dyDescent="0.2">
      <c r="B20" s="2" t="s">
        <v>15</v>
      </c>
      <c r="C20" s="1">
        <v>26.4</v>
      </c>
      <c r="D20" s="1">
        <v>58.3</v>
      </c>
      <c r="E20" s="1">
        <v>15.3</v>
      </c>
      <c r="F20" s="1">
        <v>6.7</v>
      </c>
      <c r="I20" s="2" t="s">
        <v>84</v>
      </c>
      <c r="J20" s="46">
        <f>15.8/100</f>
        <v>0.158</v>
      </c>
      <c r="K20" s="46">
        <f>59.8/100</f>
        <v>0.59799999999999998</v>
      </c>
      <c r="L20" s="46">
        <f>24.4/100</f>
        <v>0.24399999999999999</v>
      </c>
      <c r="M20" s="13">
        <v>7.3</v>
      </c>
    </row>
    <row r="21" spans="2:13" x14ac:dyDescent="0.2">
      <c r="B21" s="2" t="s">
        <v>14</v>
      </c>
      <c r="C21" s="1">
        <v>36.200000000000003</v>
      </c>
      <c r="D21" s="1">
        <v>46.2</v>
      </c>
      <c r="E21" s="1">
        <v>17.600000000000001</v>
      </c>
      <c r="F21" s="1">
        <v>6.4</v>
      </c>
      <c r="I21" s="2" t="s">
        <v>85</v>
      </c>
      <c r="J21" s="46">
        <f>15/100</f>
        <v>0.15</v>
      </c>
      <c r="K21" s="46">
        <f>66.7/100</f>
        <v>0.66700000000000004</v>
      </c>
      <c r="L21" s="46">
        <f>18.3/100</f>
        <v>0.183</v>
      </c>
      <c r="M21" s="13">
        <v>7.3</v>
      </c>
    </row>
    <row r="22" spans="2:13" x14ac:dyDescent="0.2">
      <c r="B22" s="2" t="s">
        <v>40</v>
      </c>
      <c r="C22" s="1">
        <v>12</v>
      </c>
      <c r="D22" s="1">
        <v>61.7</v>
      </c>
      <c r="E22" s="1">
        <v>26.3</v>
      </c>
      <c r="F22" s="1">
        <v>7.6</v>
      </c>
      <c r="I22" s="2" t="s">
        <v>98</v>
      </c>
      <c r="J22" s="46">
        <f>15.3/100</f>
        <v>0.153</v>
      </c>
      <c r="K22" s="46">
        <f>60.1/100</f>
        <v>0.60099999999999998</v>
      </c>
      <c r="L22" s="46">
        <f>24.7/100</f>
        <v>0.247</v>
      </c>
      <c r="M22" s="13">
        <v>7.3</v>
      </c>
    </row>
    <row r="23" spans="2:13" x14ac:dyDescent="0.2">
      <c r="B23" s="2" t="s">
        <v>13</v>
      </c>
      <c r="C23" s="1">
        <v>30.3</v>
      </c>
      <c r="D23" s="1">
        <v>56.6</v>
      </c>
      <c r="E23" s="1">
        <v>13.1</v>
      </c>
      <c r="F23" s="1">
        <v>6.5</v>
      </c>
      <c r="I23" s="2" t="s">
        <v>99</v>
      </c>
      <c r="J23" s="12">
        <f>17.7/100</f>
        <v>0.17699999999999999</v>
      </c>
      <c r="K23" s="12">
        <f>57.7/100</f>
        <v>0.57700000000000007</v>
      </c>
      <c r="L23" s="12">
        <f>24.6/100</f>
        <v>0.24600000000000002</v>
      </c>
      <c r="M23" s="1">
        <v>7.3</v>
      </c>
    </row>
    <row r="24" spans="2:13" x14ac:dyDescent="0.2">
      <c r="B24" s="2" t="s">
        <v>16</v>
      </c>
      <c r="C24" s="1">
        <v>13.8</v>
      </c>
      <c r="D24" s="1">
        <v>59.5</v>
      </c>
      <c r="E24" s="1">
        <v>26.6</v>
      </c>
      <c r="F24" s="1">
        <v>7.5</v>
      </c>
      <c r="I24" s="2" t="s">
        <v>133</v>
      </c>
      <c r="J24" s="46">
        <f>18/100</f>
        <v>0.18</v>
      </c>
      <c r="K24" s="46">
        <f>52.4/100</f>
        <v>0.52400000000000002</v>
      </c>
      <c r="L24" s="46">
        <f>29.5/100</f>
        <v>0.29499999999999998</v>
      </c>
      <c r="M24" s="13">
        <v>7.4</v>
      </c>
    </row>
    <row r="25" spans="2:13" x14ac:dyDescent="0.2">
      <c r="B25" s="2" t="s">
        <v>25</v>
      </c>
      <c r="C25" s="1">
        <v>6.3</v>
      </c>
      <c r="D25" s="1">
        <v>69.7</v>
      </c>
      <c r="E25" s="1">
        <v>23.9</v>
      </c>
      <c r="F25" s="1">
        <v>7.7</v>
      </c>
      <c r="I25" s="2" t="s">
        <v>81</v>
      </c>
      <c r="J25" s="12">
        <f>17.2/100</f>
        <v>0.17199999999999999</v>
      </c>
      <c r="K25" s="12">
        <f>54.5/100</f>
        <v>0.54500000000000004</v>
      </c>
      <c r="L25" s="12">
        <f>28.3/100</f>
        <v>0.28300000000000003</v>
      </c>
      <c r="M25" s="13">
        <v>7.4</v>
      </c>
    </row>
    <row r="26" spans="2:13" x14ac:dyDescent="0.2">
      <c r="B26" s="2" t="s">
        <v>5</v>
      </c>
      <c r="C26" s="1">
        <v>9.6</v>
      </c>
      <c r="D26" s="1">
        <v>50.7</v>
      </c>
      <c r="E26" s="1">
        <v>39.700000000000003</v>
      </c>
      <c r="F26" s="1">
        <v>8</v>
      </c>
      <c r="I26" s="2" t="s">
        <v>93</v>
      </c>
      <c r="J26" s="46">
        <f>13.8/100</f>
        <v>0.13800000000000001</v>
      </c>
      <c r="K26" s="46">
        <f>59.5/100</f>
        <v>0.59499999999999997</v>
      </c>
      <c r="L26" s="46">
        <f>26.6/100</f>
        <v>0.26600000000000001</v>
      </c>
      <c r="M26" s="13">
        <v>7.5</v>
      </c>
    </row>
    <row r="27" spans="2:13" x14ac:dyDescent="0.2">
      <c r="B27" s="2" t="s">
        <v>22</v>
      </c>
      <c r="C27" s="1">
        <v>12.4</v>
      </c>
      <c r="D27" s="1">
        <v>51.7</v>
      </c>
      <c r="E27" s="1">
        <v>35.9</v>
      </c>
      <c r="F27" s="1">
        <v>7.8</v>
      </c>
      <c r="I27" s="2" t="s">
        <v>77</v>
      </c>
      <c r="J27" s="46">
        <f>8.6/100</f>
        <v>8.5999999999999993E-2</v>
      </c>
      <c r="K27" s="46">
        <f>70.2/100</f>
        <v>0.70200000000000007</v>
      </c>
      <c r="L27" s="46">
        <f>21.2/100</f>
        <v>0.21199999999999999</v>
      </c>
      <c r="M27" s="13">
        <v>7.6</v>
      </c>
    </row>
    <row r="28" spans="2:13" x14ac:dyDescent="0.2">
      <c r="B28" s="2" t="s">
        <v>17</v>
      </c>
      <c r="C28" s="1">
        <v>30.1</v>
      </c>
      <c r="D28" s="1">
        <v>51.3</v>
      </c>
      <c r="E28" s="1">
        <v>18.600000000000001</v>
      </c>
      <c r="F28" s="1">
        <v>6.7</v>
      </c>
      <c r="I28" s="2" t="s">
        <v>91</v>
      </c>
      <c r="J28" s="46">
        <f>12/100</f>
        <v>0.12</v>
      </c>
      <c r="K28" s="46">
        <f>61.7/100</f>
        <v>0.61699999999999999</v>
      </c>
      <c r="L28" s="46">
        <f>26.3/100</f>
        <v>0.26300000000000001</v>
      </c>
      <c r="M28" s="13">
        <v>7.6</v>
      </c>
    </row>
    <row r="29" spans="2:13" x14ac:dyDescent="0.2">
      <c r="B29" s="2" t="s">
        <v>18</v>
      </c>
      <c r="C29" s="1">
        <v>15.3</v>
      </c>
      <c r="D29" s="1">
        <v>60.1</v>
      </c>
      <c r="E29" s="1">
        <v>24.7</v>
      </c>
      <c r="F29" s="1">
        <v>7.3</v>
      </c>
      <c r="I29" s="44" t="s">
        <v>148</v>
      </c>
      <c r="J29" s="12">
        <f>13.2/100</f>
        <v>0.13200000000000001</v>
      </c>
      <c r="K29" s="12">
        <f>55.1/100</f>
        <v>0.55100000000000005</v>
      </c>
      <c r="L29" s="12">
        <f>31.7/100</f>
        <v>0.317</v>
      </c>
      <c r="M29" s="1">
        <v>7.6</v>
      </c>
    </row>
    <row r="30" spans="2:13" x14ac:dyDescent="0.2">
      <c r="B30" s="2" t="s">
        <v>23</v>
      </c>
      <c r="C30" s="1">
        <v>17.7</v>
      </c>
      <c r="D30" s="1">
        <v>57.7</v>
      </c>
      <c r="E30" s="1">
        <v>24.6</v>
      </c>
      <c r="F30" s="1">
        <v>7.3</v>
      </c>
      <c r="I30" s="2" t="s">
        <v>94</v>
      </c>
      <c r="J30" s="46">
        <f>6.3/100</f>
        <v>6.3E-2</v>
      </c>
      <c r="K30" s="46">
        <f>69.7/100</f>
        <v>0.69700000000000006</v>
      </c>
      <c r="L30" s="46">
        <f>23.9/100</f>
        <v>0.23899999999999999</v>
      </c>
      <c r="M30" s="13">
        <v>7.7</v>
      </c>
    </row>
    <row r="31" spans="2:13" x14ac:dyDescent="0.2">
      <c r="B31" s="2" t="s">
        <v>112</v>
      </c>
      <c r="C31" s="1">
        <v>25.3</v>
      </c>
      <c r="D31" s="1">
        <v>47.2</v>
      </c>
      <c r="E31" s="1">
        <v>27.5</v>
      </c>
      <c r="F31" s="1">
        <v>7.1</v>
      </c>
      <c r="I31" s="2" t="s">
        <v>80</v>
      </c>
      <c r="J31" s="46">
        <f>14.1/100</f>
        <v>0.14099999999999999</v>
      </c>
      <c r="K31" s="46">
        <f>44.6/100</f>
        <v>0.44600000000000001</v>
      </c>
      <c r="L31" s="46">
        <f>41.3/100</f>
        <v>0.41299999999999998</v>
      </c>
      <c r="M31" s="13">
        <v>7.8</v>
      </c>
    </row>
    <row r="32" spans="2:13" x14ac:dyDescent="0.2">
      <c r="B32" s="2" t="s">
        <v>20</v>
      </c>
      <c r="C32" s="1">
        <v>5.2</v>
      </c>
      <c r="D32" s="1">
        <v>53.8</v>
      </c>
      <c r="E32" s="1">
        <v>41.1</v>
      </c>
      <c r="F32" s="1">
        <v>8.1</v>
      </c>
      <c r="I32" s="2" t="s">
        <v>96</v>
      </c>
      <c r="J32" s="12">
        <f>12.4/100</f>
        <v>0.124</v>
      </c>
      <c r="K32" s="12">
        <f>51.7/100</f>
        <v>0.51700000000000002</v>
      </c>
      <c r="L32" s="12">
        <f>35.9/100</f>
        <v>0.35899999999999999</v>
      </c>
      <c r="M32" s="1">
        <v>7.8</v>
      </c>
    </row>
    <row r="33" spans="2:15" x14ac:dyDescent="0.2">
      <c r="B33" s="2" t="s">
        <v>27</v>
      </c>
      <c r="C33" s="1">
        <v>11.4</v>
      </c>
      <c r="D33" s="1">
        <v>53.6</v>
      </c>
      <c r="E33" s="1">
        <v>35</v>
      </c>
      <c r="F33" s="1">
        <v>7.8</v>
      </c>
      <c r="I33" s="2" t="s">
        <v>102</v>
      </c>
      <c r="J33" s="46">
        <f>11.4/100</f>
        <v>0.114</v>
      </c>
      <c r="K33" s="46">
        <f>53.6/100</f>
        <v>0.53600000000000003</v>
      </c>
      <c r="L33" s="46">
        <f>35/100</f>
        <v>0.35</v>
      </c>
      <c r="M33" s="13">
        <v>7.8</v>
      </c>
    </row>
    <row r="34" spans="2:15" x14ac:dyDescent="0.2">
      <c r="B34" s="2" t="s">
        <v>131</v>
      </c>
      <c r="C34" s="1">
        <v>13.2</v>
      </c>
      <c r="D34" s="1">
        <v>55.1</v>
      </c>
      <c r="E34" s="1">
        <v>31.7</v>
      </c>
      <c r="F34" s="1">
        <v>7.6</v>
      </c>
      <c r="I34" s="2" t="s">
        <v>95</v>
      </c>
      <c r="J34" s="46">
        <f>9.6/100</f>
        <v>9.6000000000000002E-2</v>
      </c>
      <c r="K34" s="46">
        <f>50.7/100</f>
        <v>0.50700000000000001</v>
      </c>
      <c r="L34" s="46">
        <f>39.7/100</f>
        <v>0.39700000000000002</v>
      </c>
      <c r="M34" s="13">
        <v>8</v>
      </c>
    </row>
    <row r="35" spans="2:15" x14ac:dyDescent="0.2">
      <c r="B35" s="2" t="s">
        <v>26</v>
      </c>
      <c r="C35" s="1">
        <v>10.1</v>
      </c>
      <c r="D35" s="1">
        <v>50.2</v>
      </c>
      <c r="E35" s="1">
        <v>39.700000000000003</v>
      </c>
      <c r="F35" s="1">
        <v>8</v>
      </c>
      <c r="I35" s="87" t="s">
        <v>146</v>
      </c>
      <c r="J35" s="12">
        <f>9.4/100</f>
        <v>9.4E-2</v>
      </c>
      <c r="K35" s="12">
        <f>47.4/100</f>
        <v>0.47399999999999998</v>
      </c>
      <c r="L35" s="12">
        <f>43.2/100</f>
        <v>0.43200000000000005</v>
      </c>
      <c r="M35" s="1">
        <v>8.1</v>
      </c>
    </row>
    <row r="36" spans="2:15" x14ac:dyDescent="0.2">
      <c r="B36" s="2" t="s">
        <v>50</v>
      </c>
      <c r="C36" s="1">
        <v>8.9</v>
      </c>
      <c r="D36" s="1">
        <v>53.1</v>
      </c>
      <c r="E36" s="1">
        <v>38</v>
      </c>
      <c r="F36" s="1">
        <v>8</v>
      </c>
      <c r="I36" s="2" t="s">
        <v>101</v>
      </c>
      <c r="J36" s="46">
        <f>5.2/100</f>
        <v>5.2000000000000005E-2</v>
      </c>
      <c r="K36" s="46">
        <f>53.8/100</f>
        <v>0.53799999999999992</v>
      </c>
      <c r="L36" s="46">
        <f>41.1/100</f>
        <v>0.41100000000000003</v>
      </c>
      <c r="M36" s="13">
        <v>8.1</v>
      </c>
    </row>
    <row r="37" spans="2:15" x14ac:dyDescent="0.2">
      <c r="B37" s="2"/>
      <c r="J37" s="46"/>
      <c r="K37" s="46"/>
      <c r="L37" s="46"/>
      <c r="M37" s="13"/>
    </row>
    <row r="38" spans="2:15" x14ac:dyDescent="0.2">
      <c r="B38" s="2" t="s">
        <v>28</v>
      </c>
      <c r="C38" s="1">
        <v>16.2</v>
      </c>
      <c r="D38" s="1">
        <v>58.4</v>
      </c>
      <c r="E38" s="1">
        <v>25.4</v>
      </c>
      <c r="F38" s="53">
        <v>7.3</v>
      </c>
      <c r="G38" s="2"/>
      <c r="I38" s="2" t="s">
        <v>134</v>
      </c>
      <c r="J38" s="46">
        <f>10.1/100</f>
        <v>0.10099999999999999</v>
      </c>
      <c r="K38" s="46">
        <f>50.2/100</f>
        <v>0.502</v>
      </c>
      <c r="L38" s="46">
        <f>39.7/100</f>
        <v>0.39700000000000002</v>
      </c>
      <c r="M38" s="13">
        <v>8</v>
      </c>
    </row>
    <row r="39" spans="2:15" x14ac:dyDescent="0.2">
      <c r="I39" s="2" t="s">
        <v>106</v>
      </c>
      <c r="J39" s="46">
        <f>8.9/100</f>
        <v>8.900000000000001E-2</v>
      </c>
      <c r="K39" s="46">
        <f>53.1/100</f>
        <v>0.53100000000000003</v>
      </c>
      <c r="L39" s="46">
        <f>38/100</f>
        <v>0.38</v>
      </c>
      <c r="M39" s="13">
        <v>8</v>
      </c>
    </row>
    <row r="42" spans="2:15" x14ac:dyDescent="0.2">
      <c r="I42" s="82"/>
    </row>
    <row r="47" spans="2:15" ht="15" customHeight="1" x14ac:dyDescent="0.2">
      <c r="O47" s="82" t="s">
        <v>147</v>
      </c>
    </row>
    <row r="48" spans="2:15" x14ac:dyDescent="0.2">
      <c r="O48" s="5" t="s">
        <v>51</v>
      </c>
    </row>
    <row r="69" spans="2:2" x14ac:dyDescent="0.2">
      <c r="B69" s="2"/>
    </row>
  </sheetData>
  <sortState ref="B41:F72">
    <sortCondition ref="F41:F72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H41" sqref="H41"/>
    </sheetView>
  </sheetViews>
  <sheetFormatPr defaultRowHeight="12" x14ac:dyDescent="0.2"/>
  <cols>
    <col min="1" max="4" width="9.140625" style="1"/>
    <col min="5" max="5" width="15.28515625" style="1" customWidth="1"/>
    <col min="6" max="16384" width="9.140625" style="1"/>
  </cols>
  <sheetData>
    <row r="1" spans="1:8" x14ac:dyDescent="0.2">
      <c r="A1" s="1" t="s">
        <v>48</v>
      </c>
    </row>
    <row r="3" spans="1:8" x14ac:dyDescent="0.2">
      <c r="E3" s="14" t="s">
        <v>128</v>
      </c>
      <c r="F3" s="14" t="s">
        <v>36</v>
      </c>
      <c r="G3" s="14"/>
    </row>
    <row r="4" spans="1:8" x14ac:dyDescent="0.2">
      <c r="A4" s="14" t="s">
        <v>127</v>
      </c>
      <c r="B4" s="17"/>
      <c r="C4" s="2">
        <v>2018</v>
      </c>
      <c r="F4" s="2">
        <v>2013</v>
      </c>
      <c r="G4" s="2">
        <v>2018</v>
      </c>
      <c r="H4" s="7" t="s">
        <v>42</v>
      </c>
    </row>
    <row r="5" spans="1:8" x14ac:dyDescent="0.2">
      <c r="B5" s="2" t="s">
        <v>28</v>
      </c>
      <c r="C5" s="2">
        <v>7.3</v>
      </c>
      <c r="E5" s="55" t="s">
        <v>28</v>
      </c>
      <c r="F5" s="55">
        <v>7</v>
      </c>
      <c r="G5" s="55">
        <v>7.3</v>
      </c>
      <c r="H5" s="56">
        <f>G5-F5</f>
        <v>0.29999999999999982</v>
      </c>
    </row>
    <row r="6" spans="1:8" x14ac:dyDescent="0.2">
      <c r="E6" s="4"/>
      <c r="H6" s="6"/>
    </row>
    <row r="7" spans="1:8" x14ac:dyDescent="0.2">
      <c r="B7" s="2" t="s">
        <v>6</v>
      </c>
      <c r="C7" s="1">
        <v>7.6</v>
      </c>
      <c r="E7" s="44" t="s">
        <v>78</v>
      </c>
      <c r="F7" s="1">
        <v>4.8</v>
      </c>
      <c r="G7" s="1">
        <v>5.4</v>
      </c>
      <c r="H7" s="6">
        <f t="shared" ref="H7:H34" si="0">G7-F7</f>
        <v>0.60000000000000053</v>
      </c>
    </row>
    <row r="8" spans="1:8" x14ac:dyDescent="0.2">
      <c r="B8" s="2" t="s">
        <v>7</v>
      </c>
      <c r="C8" s="1">
        <v>5.4</v>
      </c>
      <c r="E8" s="44" t="s">
        <v>86</v>
      </c>
      <c r="F8" s="1">
        <v>6.3</v>
      </c>
      <c r="G8" s="1">
        <v>6.3</v>
      </c>
      <c r="H8" s="6">
        <f t="shared" si="0"/>
        <v>0</v>
      </c>
    </row>
    <row r="9" spans="1:8" x14ac:dyDescent="0.2">
      <c r="B9" s="2" t="s">
        <v>19</v>
      </c>
      <c r="C9" s="1">
        <v>7.4</v>
      </c>
      <c r="E9" s="44" t="s">
        <v>83</v>
      </c>
      <c r="F9" s="1">
        <v>6.2</v>
      </c>
      <c r="G9" s="1">
        <v>6.4</v>
      </c>
      <c r="H9" s="6">
        <f t="shared" si="0"/>
        <v>0.20000000000000018</v>
      </c>
    </row>
    <row r="10" spans="1:8" x14ac:dyDescent="0.2">
      <c r="B10" s="2" t="s">
        <v>24</v>
      </c>
      <c r="C10" s="1">
        <v>7.8</v>
      </c>
      <c r="E10" s="44" t="s">
        <v>90</v>
      </c>
      <c r="F10" s="1">
        <v>6.7</v>
      </c>
      <c r="G10" s="1">
        <v>6.4</v>
      </c>
      <c r="H10" s="6">
        <f t="shared" si="0"/>
        <v>-0.29999999999999982</v>
      </c>
    </row>
    <row r="11" spans="1:8" x14ac:dyDescent="0.2">
      <c r="B11" s="2" t="s">
        <v>44</v>
      </c>
      <c r="C11" s="1">
        <v>7.4</v>
      </c>
      <c r="E11" s="44" t="s">
        <v>92</v>
      </c>
      <c r="F11" s="1">
        <v>6.1</v>
      </c>
      <c r="G11" s="1">
        <v>6.5</v>
      </c>
      <c r="H11" s="6">
        <f t="shared" si="0"/>
        <v>0.40000000000000036</v>
      </c>
    </row>
    <row r="12" spans="1:8" x14ac:dyDescent="0.2">
      <c r="B12" s="2" t="s">
        <v>9</v>
      </c>
      <c r="C12" s="1">
        <v>7</v>
      </c>
      <c r="E12" s="44" t="s">
        <v>135</v>
      </c>
      <c r="F12" s="1">
        <v>6.5</v>
      </c>
      <c r="G12" s="1">
        <v>6.7</v>
      </c>
      <c r="H12" s="6">
        <f t="shared" si="0"/>
        <v>0.20000000000000018</v>
      </c>
    </row>
    <row r="13" spans="1:8" x14ac:dyDescent="0.2">
      <c r="B13" s="2" t="s">
        <v>111</v>
      </c>
      <c r="C13" s="34">
        <v>8.1</v>
      </c>
      <c r="E13" s="44" t="s">
        <v>97</v>
      </c>
      <c r="F13" s="1">
        <v>6.2</v>
      </c>
      <c r="G13" s="1">
        <v>6.7</v>
      </c>
      <c r="H13" s="6">
        <f t="shared" si="0"/>
        <v>0.5</v>
      </c>
    </row>
    <row r="14" spans="1:8" x14ac:dyDescent="0.2">
      <c r="B14" s="2" t="s">
        <v>10</v>
      </c>
      <c r="C14" s="1">
        <v>6.4</v>
      </c>
      <c r="E14" s="44" t="s">
        <v>82</v>
      </c>
      <c r="F14" s="1">
        <v>6.5</v>
      </c>
      <c r="G14" s="1">
        <v>7</v>
      </c>
      <c r="H14" s="6">
        <f t="shared" si="0"/>
        <v>0.5</v>
      </c>
    </row>
    <row r="15" spans="1:8" x14ac:dyDescent="0.2">
      <c r="B15" s="2" t="s">
        <v>11</v>
      </c>
      <c r="C15" s="1">
        <v>7.3</v>
      </c>
      <c r="E15" s="44" t="s">
        <v>136</v>
      </c>
      <c r="F15" s="1">
        <v>7</v>
      </c>
      <c r="G15" s="1">
        <v>7.1</v>
      </c>
      <c r="H15" s="6">
        <f t="shared" si="0"/>
        <v>9.9999999999999645E-2</v>
      </c>
    </row>
    <row r="16" spans="1:8" x14ac:dyDescent="0.2">
      <c r="B16" s="2" t="s">
        <v>41</v>
      </c>
      <c r="C16" s="1">
        <v>7.3</v>
      </c>
      <c r="E16" s="44" t="s">
        <v>137</v>
      </c>
      <c r="F16" s="1">
        <v>6.7</v>
      </c>
      <c r="G16" s="1">
        <v>7.1</v>
      </c>
      <c r="H16" s="6">
        <f t="shared" si="0"/>
        <v>0.39999999999999947</v>
      </c>
    </row>
    <row r="17" spans="2:8" x14ac:dyDescent="0.2">
      <c r="B17" s="2" t="s">
        <v>12</v>
      </c>
      <c r="C17" s="1">
        <v>6.3</v>
      </c>
      <c r="E17" s="44" t="s">
        <v>88</v>
      </c>
      <c r="F17" s="1">
        <v>6.2</v>
      </c>
      <c r="G17" s="1">
        <v>7.1</v>
      </c>
      <c r="H17" s="6">
        <f t="shared" si="0"/>
        <v>0.89999999999999947</v>
      </c>
    </row>
    <row r="18" spans="2:8" x14ac:dyDescent="0.2">
      <c r="B18" s="2" t="s">
        <v>21</v>
      </c>
      <c r="C18" s="1">
        <v>7.1</v>
      </c>
      <c r="E18" s="44" t="s">
        <v>138</v>
      </c>
      <c r="F18" s="1">
        <v>6.9</v>
      </c>
      <c r="G18" s="1">
        <v>7.3</v>
      </c>
      <c r="H18" s="6">
        <f t="shared" si="0"/>
        <v>0.39999999999999947</v>
      </c>
    </row>
    <row r="19" spans="2:8" x14ac:dyDescent="0.2">
      <c r="B19" s="2" t="s">
        <v>8</v>
      </c>
      <c r="C19" s="1">
        <v>7.1</v>
      </c>
      <c r="E19" s="44" t="s">
        <v>85</v>
      </c>
      <c r="F19" s="1">
        <v>7.1</v>
      </c>
      <c r="G19" s="1">
        <v>7.3</v>
      </c>
      <c r="H19" s="6">
        <f t="shared" si="0"/>
        <v>0.20000000000000018</v>
      </c>
    </row>
    <row r="20" spans="2:8" x14ac:dyDescent="0.2">
      <c r="B20" s="2" t="s">
        <v>15</v>
      </c>
      <c r="C20" s="1">
        <v>6.7</v>
      </c>
      <c r="E20" s="44" t="s">
        <v>99</v>
      </c>
      <c r="F20" s="1">
        <v>7</v>
      </c>
      <c r="G20" s="1">
        <v>7.3</v>
      </c>
      <c r="H20" s="6">
        <f t="shared" si="0"/>
        <v>0.29999999999999982</v>
      </c>
    </row>
    <row r="21" spans="2:8" x14ac:dyDescent="0.2">
      <c r="B21" s="2" t="s">
        <v>14</v>
      </c>
      <c r="C21" s="1">
        <v>6.4</v>
      </c>
      <c r="E21" s="44" t="s">
        <v>98</v>
      </c>
      <c r="F21" s="1">
        <v>7.1</v>
      </c>
      <c r="G21" s="1">
        <v>7.3</v>
      </c>
      <c r="H21" s="6">
        <f t="shared" si="0"/>
        <v>0.20000000000000018</v>
      </c>
    </row>
    <row r="22" spans="2:8" x14ac:dyDescent="0.2">
      <c r="B22" s="2" t="s">
        <v>40</v>
      </c>
      <c r="C22" s="1">
        <v>7.6</v>
      </c>
      <c r="E22" s="44" t="s">
        <v>133</v>
      </c>
      <c r="F22" s="1">
        <v>6.9</v>
      </c>
      <c r="G22" s="1">
        <v>7.4</v>
      </c>
      <c r="H22" s="6">
        <f t="shared" si="0"/>
        <v>0.5</v>
      </c>
    </row>
    <row r="23" spans="2:8" x14ac:dyDescent="0.2">
      <c r="B23" s="2" t="s">
        <v>13</v>
      </c>
      <c r="C23" s="1">
        <v>6.5</v>
      </c>
      <c r="E23" s="44" t="s">
        <v>81</v>
      </c>
      <c r="F23" s="1">
        <v>7.3</v>
      </c>
      <c r="G23" s="1">
        <v>7.4</v>
      </c>
      <c r="H23" s="6">
        <f t="shared" si="0"/>
        <v>0.10000000000000053</v>
      </c>
    </row>
    <row r="24" spans="2:8" x14ac:dyDescent="0.2">
      <c r="B24" s="2" t="s">
        <v>16</v>
      </c>
      <c r="C24" s="1">
        <v>7.5</v>
      </c>
      <c r="E24" s="44" t="s">
        <v>93</v>
      </c>
      <c r="F24" s="1">
        <v>7.1</v>
      </c>
      <c r="G24" s="1">
        <v>7.5</v>
      </c>
      <c r="H24" s="6">
        <f t="shared" si="0"/>
        <v>0.40000000000000036</v>
      </c>
    </row>
    <row r="25" spans="2:8" x14ac:dyDescent="0.2">
      <c r="B25" s="2" t="s">
        <v>25</v>
      </c>
      <c r="C25" s="1">
        <v>7.7</v>
      </c>
      <c r="E25" s="44" t="s">
        <v>148</v>
      </c>
      <c r="F25" s="1">
        <v>7.3</v>
      </c>
      <c r="G25" s="1">
        <v>7.6</v>
      </c>
      <c r="H25" s="6">
        <f t="shared" si="0"/>
        <v>0.29999999999999982</v>
      </c>
    </row>
    <row r="26" spans="2:8" x14ac:dyDescent="0.2">
      <c r="B26" s="2" t="s">
        <v>5</v>
      </c>
      <c r="C26" s="1">
        <v>8</v>
      </c>
      <c r="E26" s="44" t="s">
        <v>77</v>
      </c>
      <c r="F26" s="1">
        <v>7.6</v>
      </c>
      <c r="G26" s="1">
        <v>7.6</v>
      </c>
      <c r="H26" s="6">
        <f t="shared" si="0"/>
        <v>0</v>
      </c>
    </row>
    <row r="27" spans="2:8" x14ac:dyDescent="0.2">
      <c r="B27" s="2" t="s">
        <v>22</v>
      </c>
      <c r="C27" s="1">
        <v>7.8</v>
      </c>
      <c r="E27" s="44" t="s">
        <v>91</v>
      </c>
      <c r="F27" s="1">
        <v>7.5</v>
      </c>
      <c r="G27" s="1">
        <v>7.6</v>
      </c>
      <c r="H27" s="6">
        <f t="shared" si="0"/>
        <v>9.9999999999999645E-2</v>
      </c>
    </row>
    <row r="28" spans="2:8" x14ac:dyDescent="0.2">
      <c r="B28" s="2" t="s">
        <v>17</v>
      </c>
      <c r="C28" s="1">
        <v>6.7</v>
      </c>
      <c r="E28" s="44" t="s">
        <v>94</v>
      </c>
      <c r="F28" s="1">
        <v>7.8</v>
      </c>
      <c r="G28" s="1">
        <v>7.7</v>
      </c>
      <c r="H28" s="6">
        <f t="shared" si="0"/>
        <v>-9.9999999999999645E-2</v>
      </c>
    </row>
    <row r="29" spans="2:8" x14ac:dyDescent="0.2">
      <c r="B29" s="2" t="s">
        <v>18</v>
      </c>
      <c r="C29" s="1">
        <v>7.3</v>
      </c>
      <c r="E29" s="44" t="s">
        <v>80</v>
      </c>
      <c r="F29" s="1">
        <v>8</v>
      </c>
      <c r="G29" s="1">
        <v>7.8</v>
      </c>
      <c r="H29" s="6">
        <f t="shared" si="0"/>
        <v>-0.20000000000000018</v>
      </c>
    </row>
    <row r="30" spans="2:8" x14ac:dyDescent="0.2">
      <c r="B30" s="2" t="s">
        <v>23</v>
      </c>
      <c r="C30" s="1">
        <v>7.3</v>
      </c>
      <c r="E30" s="44" t="s">
        <v>102</v>
      </c>
      <c r="F30" s="1">
        <v>7.9</v>
      </c>
      <c r="G30" s="1">
        <v>7.8</v>
      </c>
      <c r="H30" s="6">
        <f t="shared" si="0"/>
        <v>-0.10000000000000053</v>
      </c>
    </row>
    <row r="31" spans="2:8" x14ac:dyDescent="0.2">
      <c r="B31" s="2" t="s">
        <v>112</v>
      </c>
      <c r="C31" s="34">
        <v>7.1</v>
      </c>
      <c r="E31" s="44" t="s">
        <v>96</v>
      </c>
      <c r="F31" s="1">
        <v>7.3</v>
      </c>
      <c r="G31" s="1">
        <v>7.8</v>
      </c>
      <c r="H31" s="6">
        <f t="shared" si="0"/>
        <v>0.5</v>
      </c>
    </row>
    <row r="32" spans="2:8" x14ac:dyDescent="0.2">
      <c r="B32" s="2" t="s">
        <v>20</v>
      </c>
      <c r="C32" s="1">
        <v>8.1</v>
      </c>
      <c r="E32" s="44" t="s">
        <v>95</v>
      </c>
      <c r="F32" s="1">
        <v>7.8</v>
      </c>
      <c r="G32" s="1">
        <v>8</v>
      </c>
      <c r="H32" s="6">
        <f t="shared" si="0"/>
        <v>0.20000000000000018</v>
      </c>
    </row>
    <row r="33" spans="2:10" x14ac:dyDescent="0.2">
      <c r="B33" s="2" t="s">
        <v>27</v>
      </c>
      <c r="C33" s="1">
        <v>7.8</v>
      </c>
      <c r="E33" s="44" t="s">
        <v>146</v>
      </c>
      <c r="F33" s="1">
        <v>7.4</v>
      </c>
      <c r="G33" s="1">
        <v>8.1</v>
      </c>
      <c r="H33" s="6">
        <f t="shared" si="0"/>
        <v>0.69999999999999929</v>
      </c>
    </row>
    <row r="34" spans="2:10" x14ac:dyDescent="0.2">
      <c r="B34" s="2" t="s">
        <v>76</v>
      </c>
      <c r="C34" s="34">
        <v>7.6</v>
      </c>
      <c r="E34" s="44" t="s">
        <v>101</v>
      </c>
      <c r="F34" s="1">
        <v>8</v>
      </c>
      <c r="G34" s="1">
        <v>8.1</v>
      </c>
      <c r="H34" s="6">
        <f t="shared" si="0"/>
        <v>9.9999999999999645E-2</v>
      </c>
    </row>
    <row r="35" spans="2:10" x14ac:dyDescent="0.2">
      <c r="E35" s="44"/>
      <c r="H35" s="6"/>
    </row>
    <row r="36" spans="2:10" x14ac:dyDescent="0.2">
      <c r="B36" s="2" t="s">
        <v>26</v>
      </c>
      <c r="C36" s="1">
        <v>8</v>
      </c>
      <c r="E36" s="44" t="s">
        <v>105</v>
      </c>
      <c r="F36" s="1">
        <v>7.9</v>
      </c>
      <c r="G36" s="1">
        <v>8</v>
      </c>
      <c r="H36" s="6">
        <f t="shared" ref="H36" si="1">G36-F36</f>
        <v>9.9999999999999645E-2</v>
      </c>
    </row>
    <row r="37" spans="2:10" x14ac:dyDescent="0.2">
      <c r="B37" s="2" t="s">
        <v>50</v>
      </c>
      <c r="C37" s="1">
        <v>8</v>
      </c>
      <c r="E37" s="44" t="s">
        <v>139</v>
      </c>
      <c r="F37" s="1">
        <v>8</v>
      </c>
      <c r="G37" s="1">
        <v>8</v>
      </c>
      <c r="H37" s="6">
        <f t="shared" ref="H37" si="2">G37-F37</f>
        <v>0</v>
      </c>
    </row>
    <row r="43" spans="2:10" ht="13.5" x14ac:dyDescent="0.2">
      <c r="J43" s="1" t="s">
        <v>151</v>
      </c>
    </row>
    <row r="44" spans="2:10" x14ac:dyDescent="0.2">
      <c r="J44" s="5" t="s">
        <v>68</v>
      </c>
    </row>
  </sheetData>
  <sortState ref="B41:E68">
    <sortCondition ref="D41:D68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02"/>
  <sheetViews>
    <sheetView topLeftCell="A4" zoomScaleNormal="100" workbookViewId="0">
      <selection activeCell="D77" sqref="D77"/>
    </sheetView>
  </sheetViews>
  <sheetFormatPr defaultRowHeight="12" x14ac:dyDescent="0.2"/>
  <cols>
    <col min="1" max="16384" width="9.140625" style="1"/>
  </cols>
  <sheetData>
    <row r="2" spans="2:6" x14ac:dyDescent="0.2">
      <c r="B2" s="1" t="s">
        <v>47</v>
      </c>
    </row>
    <row r="4" spans="2:6" x14ac:dyDescent="0.2">
      <c r="B4" s="2" t="s">
        <v>35</v>
      </c>
    </row>
    <row r="5" spans="2:6" x14ac:dyDescent="0.2">
      <c r="D5" s="1" t="s">
        <v>1</v>
      </c>
      <c r="E5" s="1" t="s">
        <v>2</v>
      </c>
      <c r="F5" s="1" t="s">
        <v>3</v>
      </c>
    </row>
    <row r="6" spans="2:6" x14ac:dyDescent="0.2">
      <c r="B6" s="53" t="s">
        <v>28</v>
      </c>
      <c r="C6" s="3">
        <v>2013</v>
      </c>
      <c r="D6" s="45">
        <f>21/100</f>
        <v>0.21</v>
      </c>
      <c r="E6" s="45">
        <f>57.3/100</f>
        <v>0.57299999999999995</v>
      </c>
      <c r="F6" s="45">
        <f>21.6/100</f>
        <v>0.21600000000000003</v>
      </c>
    </row>
    <row r="7" spans="2:6" x14ac:dyDescent="0.2">
      <c r="C7" s="1">
        <v>2018</v>
      </c>
      <c r="D7" s="12">
        <f>16.2/100</f>
        <v>0.16200000000000001</v>
      </c>
      <c r="E7" s="12">
        <f>58.4/100</f>
        <v>0.58399999999999996</v>
      </c>
      <c r="F7" s="12">
        <f>25.4/100</f>
        <v>0.254</v>
      </c>
    </row>
    <row r="8" spans="2:6" x14ac:dyDescent="0.2">
      <c r="D8" s="11"/>
      <c r="E8" s="11"/>
      <c r="F8" s="11"/>
    </row>
    <row r="9" spans="2:6" x14ac:dyDescent="0.2">
      <c r="D9" s="11"/>
      <c r="E9" s="11"/>
      <c r="F9" s="11"/>
    </row>
    <row r="10" spans="2:6" x14ac:dyDescent="0.2">
      <c r="B10" s="1" t="s">
        <v>7</v>
      </c>
      <c r="C10" s="3">
        <v>2013</v>
      </c>
      <c r="D10" s="45">
        <f>64.2/100</f>
        <v>0.64200000000000002</v>
      </c>
      <c r="E10" s="45">
        <f>29.8/100</f>
        <v>0.29799999999999999</v>
      </c>
      <c r="F10" s="45">
        <f>5.9/100</f>
        <v>5.9000000000000004E-2</v>
      </c>
    </row>
    <row r="11" spans="2:6" x14ac:dyDescent="0.2">
      <c r="C11" s="1">
        <v>2018</v>
      </c>
      <c r="D11" s="12">
        <f>54/100</f>
        <v>0.54</v>
      </c>
      <c r="E11" s="12">
        <f>36.6/100</f>
        <v>0.36599999999999999</v>
      </c>
      <c r="F11" s="12">
        <f>9.5/100</f>
        <v>9.5000000000000001E-2</v>
      </c>
    </row>
    <row r="12" spans="2:6" x14ac:dyDescent="0.2">
      <c r="D12" s="12"/>
      <c r="E12" s="12"/>
      <c r="F12" s="12"/>
    </row>
    <row r="13" spans="2:6" x14ac:dyDescent="0.2">
      <c r="B13" s="1" t="s">
        <v>12</v>
      </c>
      <c r="C13" s="3">
        <v>2013</v>
      </c>
      <c r="D13" s="45">
        <f>35.4/100</f>
        <v>0.35399999999999998</v>
      </c>
      <c r="E13" s="45">
        <f>49.5/100</f>
        <v>0.495</v>
      </c>
      <c r="F13" s="45">
        <f>15/100</f>
        <v>0.15</v>
      </c>
    </row>
    <row r="14" spans="2:6" x14ac:dyDescent="0.2">
      <c r="C14" s="1">
        <v>2018</v>
      </c>
      <c r="D14" s="18">
        <f>36.8/100</f>
        <v>0.36799999999999999</v>
      </c>
      <c r="E14" s="12">
        <f>46.7/100</f>
        <v>0.46700000000000003</v>
      </c>
      <c r="F14" s="12">
        <f>16.5/100</f>
        <v>0.16500000000000001</v>
      </c>
    </row>
    <row r="15" spans="2:6" x14ac:dyDescent="0.2">
      <c r="D15" s="12"/>
      <c r="E15" s="12"/>
      <c r="F15" s="12"/>
    </row>
    <row r="16" spans="2:6" x14ac:dyDescent="0.2">
      <c r="B16" s="1" t="s">
        <v>14</v>
      </c>
      <c r="C16" s="3">
        <v>2013</v>
      </c>
      <c r="D16" s="45">
        <f>27.9/100</f>
        <v>0.27899999999999997</v>
      </c>
      <c r="E16" s="45">
        <f>53.3/100</f>
        <v>0.53299999999999992</v>
      </c>
      <c r="F16" s="45">
        <f>18.8/100</f>
        <v>0.188</v>
      </c>
    </row>
    <row r="17" spans="2:6" x14ac:dyDescent="0.2">
      <c r="C17" s="1">
        <v>2018</v>
      </c>
      <c r="D17" s="18">
        <f>36.2/100</f>
        <v>0.36200000000000004</v>
      </c>
      <c r="E17" s="12">
        <f>46.2/100</f>
        <v>0.46200000000000002</v>
      </c>
      <c r="F17" s="12">
        <f>17.6/100</f>
        <v>0.17600000000000002</v>
      </c>
    </row>
    <row r="18" spans="2:6" x14ac:dyDescent="0.2">
      <c r="D18" s="12"/>
      <c r="E18" s="12"/>
      <c r="F18" s="12"/>
    </row>
    <row r="19" spans="2:6" x14ac:dyDescent="0.2">
      <c r="B19" s="1" t="s">
        <v>13</v>
      </c>
      <c r="C19" s="3">
        <v>2013</v>
      </c>
      <c r="D19" s="45">
        <f>38.5/100</f>
        <v>0.38500000000000001</v>
      </c>
      <c r="E19" s="45">
        <f>50.2/100</f>
        <v>0.502</v>
      </c>
      <c r="F19" s="45">
        <f>11.3/100</f>
        <v>0.113</v>
      </c>
    </row>
    <row r="20" spans="2:6" x14ac:dyDescent="0.2">
      <c r="C20" s="1">
        <v>2018</v>
      </c>
      <c r="D20" s="12">
        <f>30.3/100</f>
        <v>0.30299999999999999</v>
      </c>
      <c r="E20" s="12">
        <f>56.6/100</f>
        <v>0.56600000000000006</v>
      </c>
      <c r="F20" s="12">
        <f>13.1/100</f>
        <v>0.13100000000000001</v>
      </c>
    </row>
    <row r="21" spans="2:6" x14ac:dyDescent="0.2">
      <c r="D21" s="12"/>
      <c r="E21" s="12"/>
      <c r="F21" s="12"/>
    </row>
    <row r="22" spans="2:6" x14ac:dyDescent="0.2">
      <c r="B22" s="1" t="s">
        <v>17</v>
      </c>
      <c r="C22" s="3">
        <v>2013</v>
      </c>
      <c r="D22" s="45">
        <f>40.5/100</f>
        <v>0.40500000000000003</v>
      </c>
      <c r="E22" s="45">
        <f>45.7/100</f>
        <v>0.45700000000000002</v>
      </c>
      <c r="F22" s="45">
        <f>13.8/100</f>
        <v>0.13800000000000001</v>
      </c>
    </row>
    <row r="23" spans="2:6" x14ac:dyDescent="0.2">
      <c r="C23" s="1">
        <v>2018</v>
      </c>
      <c r="D23" s="12">
        <f>30.1/100</f>
        <v>0.30099999999999999</v>
      </c>
      <c r="E23" s="12">
        <f>51.3/100</f>
        <v>0.51300000000000001</v>
      </c>
      <c r="F23" s="12">
        <f>18.6/100</f>
        <v>0.18600000000000003</v>
      </c>
    </row>
    <row r="24" spans="2:6" x14ac:dyDescent="0.2">
      <c r="D24" s="12"/>
      <c r="E24" s="12"/>
      <c r="F24" s="12"/>
    </row>
    <row r="25" spans="2:6" x14ac:dyDescent="0.2">
      <c r="B25" s="1" t="s">
        <v>10</v>
      </c>
      <c r="C25" s="3">
        <v>2013</v>
      </c>
      <c r="D25" s="45">
        <f>35.5/100</f>
        <v>0.35499999999999998</v>
      </c>
      <c r="E25" s="45">
        <f>51.8/100</f>
        <v>0.51800000000000002</v>
      </c>
      <c r="F25" s="45">
        <f>12.8/100</f>
        <v>0.128</v>
      </c>
    </row>
    <row r="26" spans="2:6" x14ac:dyDescent="0.2">
      <c r="C26" s="1">
        <v>2018</v>
      </c>
      <c r="D26" s="12">
        <f>26.9/100</f>
        <v>0.26899999999999996</v>
      </c>
      <c r="E26" s="12">
        <f>59.6/100</f>
        <v>0.59599999999999997</v>
      </c>
      <c r="F26" s="12">
        <f>13.5/100</f>
        <v>0.13500000000000001</v>
      </c>
    </row>
    <row r="27" spans="2:6" x14ac:dyDescent="0.2">
      <c r="D27" s="12"/>
      <c r="E27" s="12"/>
      <c r="F27" s="12"/>
    </row>
    <row r="28" spans="2:6" x14ac:dyDescent="0.2">
      <c r="B28" s="1" t="s">
        <v>15</v>
      </c>
      <c r="C28" s="3">
        <v>2013</v>
      </c>
      <c r="D28" s="45">
        <f>30.8/100</f>
        <v>0.308</v>
      </c>
      <c r="E28" s="45">
        <f>56.6/100</f>
        <v>0.56600000000000006</v>
      </c>
      <c r="F28" s="45">
        <f>12.6/100</f>
        <v>0.126</v>
      </c>
    </row>
    <row r="29" spans="2:6" x14ac:dyDescent="0.2">
      <c r="C29" s="1">
        <v>2018</v>
      </c>
      <c r="D29" s="12">
        <f>26.4/100</f>
        <v>0.26400000000000001</v>
      </c>
      <c r="E29" s="12">
        <f>58.3/100</f>
        <v>0.58299999999999996</v>
      </c>
      <c r="F29" s="12">
        <f>15.3/100</f>
        <v>0.153</v>
      </c>
    </row>
    <row r="30" spans="2:6" x14ac:dyDescent="0.2">
      <c r="D30" s="12"/>
      <c r="E30" s="12"/>
      <c r="F30" s="12"/>
    </row>
    <row r="31" spans="2:6" x14ac:dyDescent="0.2">
      <c r="B31" s="53" t="s">
        <v>126</v>
      </c>
      <c r="C31" s="3">
        <v>2013</v>
      </c>
      <c r="D31" s="45">
        <f>26.4/100</f>
        <v>0.26400000000000001</v>
      </c>
      <c r="E31" s="45">
        <f>48.6/100</f>
        <v>0.48599999999999999</v>
      </c>
      <c r="F31" s="45">
        <f>25/100</f>
        <v>0.25</v>
      </c>
    </row>
    <row r="32" spans="2:6" x14ac:dyDescent="0.2">
      <c r="C32" s="1">
        <v>2018</v>
      </c>
      <c r="D32" s="12">
        <f>25.3/100</f>
        <v>0.253</v>
      </c>
      <c r="E32" s="12">
        <f>47.2/100</f>
        <v>0.47200000000000003</v>
      </c>
      <c r="F32" s="12">
        <f>27.5/100</f>
        <v>0.27500000000000002</v>
      </c>
    </row>
    <row r="33" spans="2:26" x14ac:dyDescent="0.2">
      <c r="D33" s="12"/>
      <c r="E33" s="12"/>
      <c r="F33" s="12"/>
    </row>
    <row r="34" spans="2:26" x14ac:dyDescent="0.2">
      <c r="B34" s="1" t="s">
        <v>9</v>
      </c>
      <c r="C34" s="3">
        <v>2013</v>
      </c>
      <c r="D34" s="45">
        <f>34.4/100</f>
        <v>0.34399999999999997</v>
      </c>
      <c r="E34" s="45">
        <f>52.1/100</f>
        <v>0.52100000000000002</v>
      </c>
      <c r="F34" s="45">
        <f>13.5/100</f>
        <v>0.13500000000000001</v>
      </c>
    </row>
    <row r="35" spans="2:26" x14ac:dyDescent="0.2">
      <c r="C35" s="1">
        <v>2018</v>
      </c>
      <c r="D35" s="12">
        <f>22.2/100</f>
        <v>0.222</v>
      </c>
      <c r="E35" s="12">
        <f>58.4/100</f>
        <v>0.58399999999999996</v>
      </c>
      <c r="F35" s="12">
        <f>19.4/100</f>
        <v>0.19399999999999998</v>
      </c>
    </row>
    <row r="36" spans="2:26" x14ac:dyDescent="0.2">
      <c r="D36" s="12"/>
      <c r="E36" s="12"/>
      <c r="F36" s="12"/>
    </row>
    <row r="37" spans="2:26" x14ac:dyDescent="0.2">
      <c r="B37" s="1" t="s">
        <v>8</v>
      </c>
      <c r="C37" s="3">
        <v>2013</v>
      </c>
      <c r="D37" s="45">
        <f>37/100</f>
        <v>0.37</v>
      </c>
      <c r="E37" s="45">
        <f>48.8/100</f>
        <v>0.48799999999999999</v>
      </c>
      <c r="F37" s="45">
        <f>14.2/100</f>
        <v>0.14199999999999999</v>
      </c>
    </row>
    <row r="38" spans="2:26" x14ac:dyDescent="0.2">
      <c r="C38" s="1">
        <v>2018</v>
      </c>
      <c r="D38" s="12">
        <f>20/100</f>
        <v>0.2</v>
      </c>
      <c r="E38" s="12">
        <f>57.7/100</f>
        <v>0.57700000000000007</v>
      </c>
      <c r="F38" s="12">
        <f>22.4/100</f>
        <v>0.22399999999999998</v>
      </c>
    </row>
    <row r="39" spans="2:26" x14ac:dyDescent="0.2">
      <c r="D39" s="12"/>
      <c r="E39" s="12"/>
      <c r="F39" s="12"/>
    </row>
    <row r="40" spans="2:26" x14ac:dyDescent="0.2">
      <c r="B40" s="1" t="s">
        <v>19</v>
      </c>
      <c r="C40" s="3">
        <v>2013</v>
      </c>
      <c r="D40" s="45">
        <f>25.4/100</f>
        <v>0.254</v>
      </c>
      <c r="E40" s="45">
        <f>53.3/100</f>
        <v>0.53299999999999992</v>
      </c>
      <c r="F40" s="45">
        <f>21.3/100</f>
        <v>0.21299999999999999</v>
      </c>
    </row>
    <row r="41" spans="2:26" x14ac:dyDescent="0.2">
      <c r="C41" s="1">
        <v>2018</v>
      </c>
      <c r="D41" s="12">
        <f>18/100</f>
        <v>0.18</v>
      </c>
      <c r="E41" s="12">
        <f>52.4/100</f>
        <v>0.52400000000000002</v>
      </c>
      <c r="F41" s="12">
        <f>29.5/100</f>
        <v>0.29499999999999998</v>
      </c>
    </row>
    <row r="42" spans="2:26" x14ac:dyDescent="0.2">
      <c r="D42" s="12"/>
      <c r="E42" s="12"/>
      <c r="F42" s="12"/>
      <c r="Z42" s="9"/>
    </row>
    <row r="43" spans="2:26" x14ac:dyDescent="0.2">
      <c r="B43" s="1" t="s">
        <v>23</v>
      </c>
      <c r="C43" s="3">
        <v>2013</v>
      </c>
      <c r="D43" s="45">
        <f>24.4/100</f>
        <v>0.24399999999999999</v>
      </c>
      <c r="E43" s="45">
        <f>55.2/100</f>
        <v>0.55200000000000005</v>
      </c>
      <c r="F43" s="45">
        <f>20.4/100</f>
        <v>0.20399999999999999</v>
      </c>
      <c r="Z43" s="9"/>
    </row>
    <row r="44" spans="2:26" x14ac:dyDescent="0.2">
      <c r="C44" s="1">
        <v>2018</v>
      </c>
      <c r="D44" s="12">
        <f>17.7/100</f>
        <v>0.17699999999999999</v>
      </c>
      <c r="E44" s="12">
        <f>57.7/100</f>
        <v>0.57700000000000007</v>
      </c>
      <c r="F44" s="12">
        <f>24.6/100</f>
        <v>0.24600000000000002</v>
      </c>
      <c r="Z44" s="9"/>
    </row>
    <row r="45" spans="2:26" x14ac:dyDescent="0.2">
      <c r="D45" s="12"/>
      <c r="E45" s="12"/>
      <c r="F45" s="12"/>
      <c r="Z45" s="9"/>
    </row>
    <row r="46" spans="2:26" x14ac:dyDescent="0.2">
      <c r="B46" s="1" t="s">
        <v>11</v>
      </c>
      <c r="C46" s="3">
        <v>2013</v>
      </c>
      <c r="D46" s="45">
        <f>23.2/100</f>
        <v>0.23199999999999998</v>
      </c>
      <c r="E46" s="45">
        <f>58.4/100</f>
        <v>0.58399999999999996</v>
      </c>
      <c r="F46" s="45">
        <f>18.4/100</f>
        <v>0.184</v>
      </c>
      <c r="Z46" s="9"/>
    </row>
    <row r="47" spans="2:26" x14ac:dyDescent="0.2">
      <c r="C47" s="1">
        <v>2018</v>
      </c>
      <c r="D47" s="12">
        <f>15.8/100</f>
        <v>0.158</v>
      </c>
      <c r="E47" s="12">
        <f>59.8/100</f>
        <v>0.59799999999999998</v>
      </c>
      <c r="F47" s="12">
        <f>24.4/100</f>
        <v>0.24399999999999999</v>
      </c>
      <c r="Z47" s="9"/>
    </row>
    <row r="48" spans="2:26" x14ac:dyDescent="0.2">
      <c r="D48" s="12"/>
      <c r="E48" s="12"/>
      <c r="F48" s="12"/>
    </row>
    <row r="49" spans="2:9" x14ac:dyDescent="0.2">
      <c r="B49" s="1" t="s">
        <v>21</v>
      </c>
      <c r="C49" s="3">
        <v>2013</v>
      </c>
      <c r="D49" s="45">
        <f>22.7/100</f>
        <v>0.22699999999999998</v>
      </c>
      <c r="E49" s="45">
        <f>63/100</f>
        <v>0.63</v>
      </c>
      <c r="F49" s="45">
        <f>14.2/100</f>
        <v>0.14199999999999999</v>
      </c>
    </row>
    <row r="50" spans="2:9" x14ac:dyDescent="0.2">
      <c r="C50" s="1">
        <v>2018</v>
      </c>
      <c r="D50" s="12">
        <f>15.7/100</f>
        <v>0.157</v>
      </c>
      <c r="E50" s="12">
        <f>66.3/100</f>
        <v>0.66299999999999992</v>
      </c>
      <c r="F50" s="12">
        <f>18/100</f>
        <v>0.18</v>
      </c>
    </row>
    <row r="51" spans="2:9" x14ac:dyDescent="0.2">
      <c r="D51" s="12"/>
      <c r="E51" s="12"/>
      <c r="F51" s="12"/>
    </row>
    <row r="52" spans="2:9" x14ac:dyDescent="0.2">
      <c r="B52" s="1" t="s">
        <v>44</v>
      </c>
      <c r="C52" s="3">
        <v>2013</v>
      </c>
      <c r="D52" s="45">
        <f>19.2/100</f>
        <v>0.192</v>
      </c>
      <c r="E52" s="45">
        <f>55.8/100</f>
        <v>0.55799999999999994</v>
      </c>
      <c r="F52" s="45">
        <f>25/100</f>
        <v>0.25</v>
      </c>
    </row>
    <row r="53" spans="2:9" x14ac:dyDescent="0.2">
      <c r="C53" s="1">
        <v>2018</v>
      </c>
      <c r="D53" s="46">
        <f>17.2/100</f>
        <v>0.17199999999999999</v>
      </c>
      <c r="E53" s="46">
        <f>54.5/100</f>
        <v>0.54500000000000004</v>
      </c>
      <c r="F53" s="46">
        <f>28.3/100</f>
        <v>0.28300000000000003</v>
      </c>
    </row>
    <row r="54" spans="2:9" x14ac:dyDescent="0.2">
      <c r="D54" s="12"/>
      <c r="E54" s="12"/>
      <c r="F54" s="12"/>
    </row>
    <row r="55" spans="2:9" x14ac:dyDescent="0.2">
      <c r="B55" s="1" t="s">
        <v>18</v>
      </c>
      <c r="C55" s="3">
        <v>2013</v>
      </c>
      <c r="D55" s="45">
        <f>16.7/100</f>
        <v>0.16699999999999998</v>
      </c>
      <c r="E55" s="45">
        <f>63.7/100</f>
        <v>0.63700000000000001</v>
      </c>
      <c r="F55" s="45">
        <f>19.7/100</f>
        <v>0.19699999999999998</v>
      </c>
    </row>
    <row r="56" spans="2:9" x14ac:dyDescent="0.2">
      <c r="C56" s="1">
        <v>2018</v>
      </c>
      <c r="D56" s="12">
        <f>15.3/100</f>
        <v>0.153</v>
      </c>
      <c r="E56" s="12">
        <f>60.1/100</f>
        <v>0.60099999999999998</v>
      </c>
      <c r="F56" s="12">
        <f>24.7/100</f>
        <v>0.247</v>
      </c>
    </row>
    <row r="57" spans="2:9" x14ac:dyDescent="0.2">
      <c r="D57" s="12"/>
      <c r="E57" s="12"/>
      <c r="F57" s="12"/>
    </row>
    <row r="58" spans="2:9" x14ac:dyDescent="0.2">
      <c r="B58" s="1" t="s">
        <v>41</v>
      </c>
      <c r="C58" s="3">
        <v>2013</v>
      </c>
      <c r="D58" s="45">
        <f>19.1/100</f>
        <v>0.191</v>
      </c>
      <c r="E58" s="45">
        <f>64.8/100</f>
        <v>0.64800000000000002</v>
      </c>
      <c r="F58" s="45">
        <f>16.1/100</f>
        <v>0.161</v>
      </c>
    </row>
    <row r="59" spans="2:9" ht="13.5" x14ac:dyDescent="0.2">
      <c r="C59" s="1">
        <v>2018</v>
      </c>
      <c r="D59" s="12">
        <f>15/100</f>
        <v>0.15</v>
      </c>
      <c r="E59" s="12">
        <f>66.7/100</f>
        <v>0.66700000000000004</v>
      </c>
      <c r="F59" s="12">
        <f>18.3/100</f>
        <v>0.183</v>
      </c>
      <c r="I59" s="1" t="s">
        <v>151</v>
      </c>
    </row>
    <row r="60" spans="2:9" ht="14.25" customHeight="1" x14ac:dyDescent="0.2">
      <c r="D60" s="12"/>
      <c r="E60" s="12"/>
      <c r="F60" s="12"/>
      <c r="I60" s="5" t="s">
        <v>70</v>
      </c>
    </row>
    <row r="61" spans="2:9" x14ac:dyDescent="0.2">
      <c r="B61" s="1" t="s">
        <v>24</v>
      </c>
      <c r="C61" s="3">
        <v>2013</v>
      </c>
      <c r="D61" s="45">
        <f>10.6/100</f>
        <v>0.106</v>
      </c>
      <c r="E61" s="45">
        <f>46.6/100</f>
        <v>0.46600000000000003</v>
      </c>
      <c r="F61" s="45">
        <f>42.7/100</f>
        <v>0.42700000000000005</v>
      </c>
    </row>
    <row r="62" spans="2:9" x14ac:dyDescent="0.2">
      <c r="C62" s="1">
        <v>2018</v>
      </c>
      <c r="D62" s="18">
        <f>14.1/100</f>
        <v>0.14099999999999999</v>
      </c>
      <c r="E62" s="12">
        <f>44.6/100</f>
        <v>0.44600000000000001</v>
      </c>
      <c r="F62" s="12">
        <f>41.3/100</f>
        <v>0.41299999999999998</v>
      </c>
    </row>
    <row r="63" spans="2:9" x14ac:dyDescent="0.2">
      <c r="D63" s="12"/>
      <c r="E63" s="12"/>
      <c r="F63" s="12"/>
    </row>
    <row r="64" spans="2:9" x14ac:dyDescent="0.2">
      <c r="B64" s="1" t="s">
        <v>16</v>
      </c>
      <c r="C64" s="3">
        <v>2013</v>
      </c>
      <c r="D64" s="45">
        <f>20.4/100</f>
        <v>0.20399999999999999</v>
      </c>
      <c r="E64" s="45">
        <f>57.7/100</f>
        <v>0.57700000000000007</v>
      </c>
      <c r="F64" s="45">
        <f>21.9/100</f>
        <v>0.21899999999999997</v>
      </c>
    </row>
    <row r="65" spans="2:6" x14ac:dyDescent="0.2">
      <c r="C65" s="1">
        <v>2018</v>
      </c>
      <c r="D65" s="12">
        <f>13.8/100</f>
        <v>0.13800000000000001</v>
      </c>
      <c r="E65" s="12">
        <f>59.5/100</f>
        <v>0.59499999999999997</v>
      </c>
      <c r="F65" s="12">
        <f>26.6/100</f>
        <v>0.26600000000000001</v>
      </c>
    </row>
    <row r="66" spans="2:6" x14ac:dyDescent="0.2">
      <c r="D66" s="12"/>
      <c r="E66" s="12"/>
      <c r="F66" s="12"/>
    </row>
    <row r="67" spans="2:6" x14ac:dyDescent="0.2">
      <c r="B67" s="83" t="s">
        <v>149</v>
      </c>
      <c r="C67" s="3">
        <v>2013</v>
      </c>
      <c r="D67" s="45">
        <f>19.1/100</f>
        <v>0.191</v>
      </c>
      <c r="E67" s="45">
        <f>53.2/100</f>
        <v>0.53200000000000003</v>
      </c>
      <c r="F67" s="45">
        <f>27.8/100</f>
        <v>0.27800000000000002</v>
      </c>
    </row>
    <row r="68" spans="2:6" x14ac:dyDescent="0.2">
      <c r="C68" s="1">
        <v>2018</v>
      </c>
      <c r="D68" s="12">
        <f>13.2/100</f>
        <v>0.13200000000000001</v>
      </c>
      <c r="E68" s="12">
        <f>55.1/100</f>
        <v>0.55100000000000005</v>
      </c>
      <c r="F68" s="12">
        <f>31.7/100</f>
        <v>0.317</v>
      </c>
    </row>
    <row r="69" spans="2:6" x14ac:dyDescent="0.2">
      <c r="D69" s="12"/>
      <c r="E69" s="12"/>
      <c r="F69" s="12"/>
    </row>
    <row r="70" spans="2:6" x14ac:dyDescent="0.2">
      <c r="B70" s="1" t="s">
        <v>22</v>
      </c>
      <c r="C70" s="3">
        <v>2013</v>
      </c>
      <c r="D70" s="45">
        <f>19.9/100</f>
        <v>0.19899999999999998</v>
      </c>
      <c r="E70" s="45">
        <f>50.7/100</f>
        <v>0.50700000000000001</v>
      </c>
      <c r="F70" s="45">
        <f>29.4/100</f>
        <v>0.29399999999999998</v>
      </c>
    </row>
    <row r="71" spans="2:6" x14ac:dyDescent="0.2">
      <c r="C71" s="1">
        <v>2018</v>
      </c>
      <c r="D71" s="12">
        <f>12.4/100</f>
        <v>0.124</v>
      </c>
      <c r="E71" s="12">
        <f>51.7/100</f>
        <v>0.51700000000000002</v>
      </c>
      <c r="F71" s="12">
        <f>35.9/100</f>
        <v>0.35899999999999999</v>
      </c>
    </row>
    <row r="72" spans="2:6" x14ac:dyDescent="0.2">
      <c r="D72" s="12"/>
      <c r="E72" s="12"/>
      <c r="F72" s="12"/>
    </row>
    <row r="73" spans="2:6" x14ac:dyDescent="0.2">
      <c r="B73" s="1" t="s">
        <v>40</v>
      </c>
      <c r="C73" s="3">
        <v>2013</v>
      </c>
      <c r="D73" s="45">
        <f>14.8/100</f>
        <v>0.14800000000000002</v>
      </c>
      <c r="E73" s="45">
        <f>59.5/100</f>
        <v>0.59499999999999997</v>
      </c>
      <c r="F73" s="45">
        <f>25.7/100</f>
        <v>0.25700000000000001</v>
      </c>
    </row>
    <row r="74" spans="2:6" x14ac:dyDescent="0.2">
      <c r="C74" s="1">
        <v>2018</v>
      </c>
      <c r="D74" s="12">
        <f>12/100</f>
        <v>0.12</v>
      </c>
      <c r="E74" s="12">
        <f>61.7/100</f>
        <v>0.61699999999999999</v>
      </c>
      <c r="F74" s="12">
        <f>26.3/100</f>
        <v>0.26300000000000001</v>
      </c>
    </row>
    <row r="75" spans="2:6" x14ac:dyDescent="0.2">
      <c r="D75" s="12"/>
      <c r="E75" s="12"/>
      <c r="F75" s="12"/>
    </row>
    <row r="76" spans="2:6" x14ac:dyDescent="0.2">
      <c r="B76" s="1" t="s">
        <v>27</v>
      </c>
      <c r="C76" s="3">
        <v>2013</v>
      </c>
      <c r="D76" s="45">
        <f>9/100</f>
        <v>0.09</v>
      </c>
      <c r="E76" s="45">
        <f>56.6/100</f>
        <v>0.56600000000000006</v>
      </c>
      <c r="F76" s="45">
        <f>34.4/100</f>
        <v>0.34399999999999997</v>
      </c>
    </row>
    <row r="77" spans="2:6" x14ac:dyDescent="0.2">
      <c r="C77" s="1">
        <v>2018</v>
      </c>
      <c r="D77" s="18">
        <f>11.4/100</f>
        <v>0.114</v>
      </c>
      <c r="E77" s="12">
        <f>53.6/100</f>
        <v>0.53600000000000003</v>
      </c>
      <c r="F77" s="12">
        <f>35/100</f>
        <v>0.35</v>
      </c>
    </row>
    <row r="78" spans="2:6" x14ac:dyDescent="0.2">
      <c r="D78" s="12"/>
      <c r="E78" s="12"/>
      <c r="F78" s="12"/>
    </row>
    <row r="79" spans="2:6" x14ac:dyDescent="0.2">
      <c r="B79" s="1" t="s">
        <v>5</v>
      </c>
      <c r="C79" s="3">
        <v>2013</v>
      </c>
      <c r="D79" s="45">
        <f>12.9/100</f>
        <v>0.129</v>
      </c>
      <c r="E79" s="45">
        <f>49.3/100</f>
        <v>0.49299999999999999</v>
      </c>
      <c r="F79" s="45">
        <f>37.9/100</f>
        <v>0.379</v>
      </c>
    </row>
    <row r="80" spans="2:6" x14ac:dyDescent="0.2">
      <c r="C80" s="1">
        <v>2018</v>
      </c>
      <c r="D80" s="12">
        <f>9.6/100</f>
        <v>9.6000000000000002E-2</v>
      </c>
      <c r="E80" s="12">
        <f>50.7/100</f>
        <v>0.50700000000000001</v>
      </c>
      <c r="F80" s="12">
        <f>39.7/100</f>
        <v>0.39700000000000002</v>
      </c>
    </row>
    <row r="81" spans="2:6" x14ac:dyDescent="0.2">
      <c r="D81" s="12"/>
      <c r="E81" s="12"/>
      <c r="F81" s="12"/>
    </row>
    <row r="82" spans="2:6" x14ac:dyDescent="0.2">
      <c r="B82" s="83" t="s">
        <v>150</v>
      </c>
      <c r="C82" s="3">
        <v>2013</v>
      </c>
      <c r="D82" s="45">
        <f>16.7/100</f>
        <v>0.16699999999999998</v>
      </c>
      <c r="E82" s="45">
        <f>52.7/100</f>
        <v>0.52700000000000002</v>
      </c>
      <c r="F82" s="45">
        <f>30.6/100</f>
        <v>0.30599999999999999</v>
      </c>
    </row>
    <row r="83" spans="2:6" x14ac:dyDescent="0.2">
      <c r="C83" s="1">
        <v>2018</v>
      </c>
      <c r="D83" s="12">
        <f>9.4/100</f>
        <v>9.4E-2</v>
      </c>
      <c r="E83" s="12">
        <f>47.4/100</f>
        <v>0.47399999999999998</v>
      </c>
      <c r="F83" s="12">
        <f>43.2/100</f>
        <v>0.43200000000000005</v>
      </c>
    </row>
    <row r="84" spans="2:6" x14ac:dyDescent="0.2">
      <c r="D84" s="12"/>
      <c r="E84" s="12"/>
      <c r="F84" s="12"/>
    </row>
    <row r="85" spans="2:6" x14ac:dyDescent="0.2">
      <c r="B85" s="1" t="s">
        <v>6</v>
      </c>
      <c r="C85" s="3">
        <v>2013</v>
      </c>
      <c r="D85" s="45">
        <f>9.2/100</f>
        <v>9.1999999999999998E-2</v>
      </c>
      <c r="E85" s="45">
        <f>69.9/100</f>
        <v>0.69900000000000007</v>
      </c>
      <c r="F85" s="45">
        <f>20.9/100</f>
        <v>0.20899999999999999</v>
      </c>
    </row>
    <row r="86" spans="2:6" x14ac:dyDescent="0.2">
      <c r="C86" s="1">
        <v>2018</v>
      </c>
      <c r="D86" s="12">
        <f>8.6/100</f>
        <v>8.5999999999999993E-2</v>
      </c>
      <c r="E86" s="12">
        <f>70.2/100</f>
        <v>0.70200000000000007</v>
      </c>
      <c r="F86" s="12">
        <f>21.2/100</f>
        <v>0.21199999999999999</v>
      </c>
    </row>
    <row r="87" spans="2:6" x14ac:dyDescent="0.2">
      <c r="D87" s="12"/>
      <c r="E87" s="12"/>
      <c r="F87" s="12"/>
    </row>
    <row r="88" spans="2:6" x14ac:dyDescent="0.2">
      <c r="B88" s="1" t="s">
        <v>25</v>
      </c>
      <c r="C88" s="3">
        <v>2013</v>
      </c>
      <c r="D88" s="45">
        <f>5.6/100</f>
        <v>5.5999999999999994E-2</v>
      </c>
      <c r="E88" s="45">
        <f>68.3/100</f>
        <v>0.68299999999999994</v>
      </c>
      <c r="F88" s="45">
        <f>26.1/100</f>
        <v>0.26100000000000001</v>
      </c>
    </row>
    <row r="89" spans="2:6" x14ac:dyDescent="0.2">
      <c r="C89" s="1">
        <v>2018</v>
      </c>
      <c r="D89" s="12">
        <f>6.3/100</f>
        <v>6.3E-2</v>
      </c>
      <c r="E89" s="12">
        <f>69.7/100</f>
        <v>0.69700000000000006</v>
      </c>
      <c r="F89" s="12">
        <f>23.9/100</f>
        <v>0.23899999999999999</v>
      </c>
    </row>
    <row r="90" spans="2:6" x14ac:dyDescent="0.2">
      <c r="D90" s="12"/>
      <c r="E90" s="12"/>
      <c r="F90" s="12"/>
    </row>
    <row r="91" spans="2:6" x14ac:dyDescent="0.2">
      <c r="B91" s="1" t="s">
        <v>20</v>
      </c>
      <c r="C91" s="3">
        <v>2013</v>
      </c>
      <c r="D91" s="45">
        <f>6/100</f>
        <v>0.06</v>
      </c>
      <c r="E91" s="45">
        <f>55.5/100</f>
        <v>0.55500000000000005</v>
      </c>
      <c r="F91" s="45">
        <f>38.6/100</f>
        <v>0.38600000000000001</v>
      </c>
    </row>
    <row r="92" spans="2:6" x14ac:dyDescent="0.2">
      <c r="C92" s="1">
        <v>2018</v>
      </c>
      <c r="D92" s="12">
        <f>5.2/100</f>
        <v>5.2000000000000005E-2</v>
      </c>
      <c r="E92" s="12">
        <f>53.8/100</f>
        <v>0.53799999999999992</v>
      </c>
      <c r="F92" s="12">
        <f>41.1/100</f>
        <v>0.41100000000000003</v>
      </c>
    </row>
    <row r="93" spans="2:6" x14ac:dyDescent="0.2">
      <c r="D93" s="12"/>
      <c r="E93" s="12"/>
      <c r="F93" s="12"/>
    </row>
    <row r="94" spans="2:6" x14ac:dyDescent="0.2">
      <c r="D94" s="12"/>
      <c r="E94" s="12"/>
      <c r="F94" s="12"/>
    </row>
    <row r="95" spans="2:6" x14ac:dyDescent="0.2">
      <c r="B95" s="1" t="s">
        <v>26</v>
      </c>
      <c r="C95" s="3">
        <v>2013</v>
      </c>
      <c r="D95" s="45">
        <f>10.3/100</f>
        <v>0.10300000000000001</v>
      </c>
      <c r="E95" s="45">
        <f>54.1/100</f>
        <v>0.54100000000000004</v>
      </c>
      <c r="F95" s="45">
        <f>35.6/100</f>
        <v>0.35600000000000004</v>
      </c>
    </row>
    <row r="96" spans="2:6" x14ac:dyDescent="0.2">
      <c r="C96" s="1">
        <v>2018</v>
      </c>
      <c r="D96" s="12">
        <f>10.1/100</f>
        <v>0.10099999999999999</v>
      </c>
      <c r="E96" s="12">
        <f>50.2/100</f>
        <v>0.502</v>
      </c>
      <c r="F96" s="12">
        <f>39.7/100</f>
        <v>0.39700000000000002</v>
      </c>
    </row>
    <row r="97" spans="2:6" x14ac:dyDescent="0.2">
      <c r="D97" s="12"/>
      <c r="E97" s="12"/>
      <c r="F97" s="12"/>
    </row>
    <row r="98" spans="2:6" x14ac:dyDescent="0.2">
      <c r="B98" s="1" t="s">
        <v>50</v>
      </c>
      <c r="C98" s="3">
        <v>2013</v>
      </c>
      <c r="D98" s="45">
        <f>8/100</f>
        <v>0.08</v>
      </c>
      <c r="E98" s="45">
        <f>53.5/100</f>
        <v>0.53500000000000003</v>
      </c>
      <c r="F98" s="45">
        <f>38.5/100</f>
        <v>0.38500000000000001</v>
      </c>
    </row>
    <row r="99" spans="2:6" x14ac:dyDescent="0.2">
      <c r="C99" s="1">
        <v>2018</v>
      </c>
      <c r="D99" s="12">
        <f>8.9/100</f>
        <v>8.900000000000001E-2</v>
      </c>
      <c r="E99" s="12">
        <f>53.1/100</f>
        <v>0.53100000000000003</v>
      </c>
      <c r="F99" s="12">
        <f>38/100</f>
        <v>0.38</v>
      </c>
    </row>
    <row r="101" spans="2:6" x14ac:dyDescent="0.2">
      <c r="D101" s="10"/>
      <c r="E101" s="9"/>
      <c r="F101" s="9"/>
    </row>
    <row r="102" spans="2:6" x14ac:dyDescent="0.2">
      <c r="D102" s="10"/>
      <c r="E102" s="9"/>
      <c r="F102" s="9"/>
    </row>
  </sheetData>
  <sortState ref="Y8:Z32">
    <sortCondition descending="1" ref="Z8:Z32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4"/>
  <sheetViews>
    <sheetView topLeftCell="A16" zoomScaleNormal="100" workbookViewId="0">
      <selection activeCell="G32" sqref="G32"/>
    </sheetView>
  </sheetViews>
  <sheetFormatPr defaultRowHeight="12" x14ac:dyDescent="0.2"/>
  <cols>
    <col min="1" max="16384" width="9.140625" style="1"/>
  </cols>
  <sheetData>
    <row r="3" spans="2:7" x14ac:dyDescent="0.2">
      <c r="D3" s="2" t="s">
        <v>155</v>
      </c>
      <c r="E3" s="2" t="s">
        <v>156</v>
      </c>
      <c r="F3" s="2" t="s">
        <v>157</v>
      </c>
      <c r="G3" s="2" t="s">
        <v>154</v>
      </c>
    </row>
    <row r="4" spans="2:7" x14ac:dyDescent="0.2">
      <c r="B4" s="1" t="s">
        <v>28</v>
      </c>
      <c r="C4" s="1" t="s">
        <v>34</v>
      </c>
      <c r="D4" s="12">
        <f>9.5/100</f>
        <v>9.5000000000000001E-2</v>
      </c>
      <c r="E4" s="12">
        <f>56.1/100</f>
        <v>0.56100000000000005</v>
      </c>
      <c r="F4" s="12">
        <f>34.5/100</f>
        <v>0.34499999999999997</v>
      </c>
      <c r="G4" s="1">
        <v>7.8</v>
      </c>
    </row>
    <row r="5" spans="2:7" x14ac:dyDescent="0.2">
      <c r="C5" s="1" t="s">
        <v>33</v>
      </c>
      <c r="D5" s="12">
        <f>11.5/100</f>
        <v>0.115</v>
      </c>
      <c r="E5" s="12">
        <f>58.4/100</f>
        <v>0.58399999999999996</v>
      </c>
      <c r="F5" s="12">
        <f>30.1/100</f>
        <v>0.30099999999999999</v>
      </c>
      <c r="G5" s="1">
        <v>7.6</v>
      </c>
    </row>
    <row r="6" spans="2:7" x14ac:dyDescent="0.2">
      <c r="C6" s="1" t="s">
        <v>32</v>
      </c>
      <c r="D6" s="12">
        <f>14.2/100</f>
        <v>0.14199999999999999</v>
      </c>
      <c r="E6" s="12">
        <f>60.3/100</f>
        <v>0.60299999999999998</v>
      </c>
      <c r="F6" s="12">
        <f>25.5/100</f>
        <v>0.255</v>
      </c>
      <c r="G6" s="1">
        <v>7.4</v>
      </c>
    </row>
    <row r="7" spans="2:7" x14ac:dyDescent="0.2">
      <c r="C7" s="1" t="s">
        <v>31</v>
      </c>
      <c r="D7" s="18">
        <f>18.8/100</f>
        <v>0.188</v>
      </c>
      <c r="E7" s="12">
        <f>58.8/100</f>
        <v>0.58799999999999997</v>
      </c>
      <c r="F7" s="12">
        <f>22.4/100</f>
        <v>0.22399999999999998</v>
      </c>
      <c r="G7" s="1">
        <v>7.2</v>
      </c>
    </row>
    <row r="8" spans="2:7" x14ac:dyDescent="0.2">
      <c r="C8" s="1" t="s">
        <v>30</v>
      </c>
      <c r="D8" s="12">
        <f>18.4/100</f>
        <v>0.184</v>
      </c>
      <c r="E8" s="12">
        <f>57.6/100</f>
        <v>0.57600000000000007</v>
      </c>
      <c r="F8" s="12">
        <f>23.9/100</f>
        <v>0.23899999999999999</v>
      </c>
      <c r="G8" s="1">
        <v>7.2</v>
      </c>
    </row>
    <row r="9" spans="2:7" x14ac:dyDescent="0.2">
      <c r="C9" s="1" t="s">
        <v>29</v>
      </c>
      <c r="D9" s="12">
        <f>23.4/100</f>
        <v>0.23399999999999999</v>
      </c>
      <c r="E9" s="12">
        <f>56.4/100</f>
        <v>0.56399999999999995</v>
      </c>
      <c r="F9" s="12">
        <f>20.3/100</f>
        <v>0.20300000000000001</v>
      </c>
      <c r="G9" s="1">
        <v>6.9</v>
      </c>
    </row>
    <row r="57" spans="9:9" x14ac:dyDescent="0.2">
      <c r="I57" s="1" t="s">
        <v>152</v>
      </c>
    </row>
    <row r="178" spans="1:1" x14ac:dyDescent="0.2">
      <c r="A178" s="2" t="s">
        <v>4</v>
      </c>
    </row>
    <row r="179" spans="1:1" x14ac:dyDescent="0.2">
      <c r="A179" s="1">
        <v>7.8</v>
      </c>
    </row>
    <row r="180" spans="1:1" x14ac:dyDescent="0.2">
      <c r="A180" s="1">
        <v>7.6</v>
      </c>
    </row>
    <row r="181" spans="1:1" x14ac:dyDescent="0.2">
      <c r="A181" s="1">
        <v>7.4</v>
      </c>
    </row>
    <row r="182" spans="1:1" x14ac:dyDescent="0.2">
      <c r="A182" s="1">
        <v>7.1</v>
      </c>
    </row>
    <row r="183" spans="1:1" x14ac:dyDescent="0.2">
      <c r="A183" s="1">
        <v>7.2</v>
      </c>
    </row>
    <row r="184" spans="1:1" x14ac:dyDescent="0.2">
      <c r="A184" s="1">
        <v>6.9</v>
      </c>
    </row>
  </sheetData>
  <pageMargins left="0.7" right="0.7" top="0.75" bottom="0.75" header="0.3" footer="0.3"/>
  <pageSetup paperSize="9" orientation="portrait" r:id="rId1"/>
  <ignoredErrors>
    <ignoredError sqref="E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1"/>
  <sheetViews>
    <sheetView zoomScaleNormal="100" workbookViewId="0">
      <selection activeCell="G4" sqref="G4"/>
    </sheetView>
  </sheetViews>
  <sheetFormatPr defaultRowHeight="12" x14ac:dyDescent="0.2"/>
  <cols>
    <col min="1" max="2" width="9.140625" style="1"/>
    <col min="3" max="3" width="65.42578125" style="1" customWidth="1"/>
    <col min="4" max="16384" width="9.140625" style="1"/>
  </cols>
  <sheetData>
    <row r="4" spans="2:7" x14ac:dyDescent="0.2">
      <c r="D4" s="2" t="s">
        <v>37</v>
      </c>
      <c r="E4" s="2" t="s">
        <v>38</v>
      </c>
      <c r="F4" s="2" t="s">
        <v>39</v>
      </c>
      <c r="G4" s="2" t="s">
        <v>154</v>
      </c>
    </row>
    <row r="5" spans="2:7" x14ac:dyDescent="0.2">
      <c r="B5" s="2" t="s">
        <v>28</v>
      </c>
      <c r="C5" s="1" t="s">
        <v>123</v>
      </c>
      <c r="D5" s="12">
        <f>24/100</f>
        <v>0.24</v>
      </c>
      <c r="E5" s="12">
        <f>56.2/100</f>
        <v>0.56200000000000006</v>
      </c>
      <c r="F5" s="12">
        <f>19.8/100</f>
        <v>0.19800000000000001</v>
      </c>
      <c r="G5" s="1">
        <v>6.9</v>
      </c>
    </row>
    <row r="6" spans="2:7" x14ac:dyDescent="0.2">
      <c r="C6" s="1" t="s">
        <v>124</v>
      </c>
      <c r="D6" s="12">
        <f>15.6/100</f>
        <v>0.156</v>
      </c>
      <c r="E6" s="12">
        <f>58.8/100</f>
        <v>0.58799999999999997</v>
      </c>
      <c r="F6" s="12">
        <f>25.7/100</f>
        <v>0.25700000000000001</v>
      </c>
      <c r="G6" s="1">
        <v>7.4</v>
      </c>
    </row>
    <row r="7" spans="2:7" ht="11.25" customHeight="1" x14ac:dyDescent="0.2">
      <c r="C7" s="1" t="s">
        <v>125</v>
      </c>
      <c r="D7" s="12">
        <f>8.6/100</f>
        <v>8.5999999999999993E-2</v>
      </c>
      <c r="E7" s="12">
        <f>60.3/100</f>
        <v>0.60299999999999998</v>
      </c>
      <c r="F7" s="12">
        <f>31.1/100</f>
        <v>0.311</v>
      </c>
      <c r="G7" s="1">
        <v>7.8</v>
      </c>
    </row>
    <row r="51" spans="9:9" x14ac:dyDescent="0.2">
      <c r="I51" s="5" t="s">
        <v>51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opLeftCell="A7" zoomScaleNormal="100" workbookViewId="0">
      <selection activeCell="C30" sqref="C29:C30"/>
    </sheetView>
  </sheetViews>
  <sheetFormatPr defaultRowHeight="12" x14ac:dyDescent="0.2"/>
  <cols>
    <col min="1" max="16384" width="9.140625" style="1"/>
  </cols>
  <sheetData>
    <row r="2" spans="2:6" ht="24" x14ac:dyDescent="0.2">
      <c r="B2" s="37"/>
      <c r="C2" s="52" t="s">
        <v>113</v>
      </c>
      <c r="D2" s="52" t="s">
        <v>114</v>
      </c>
      <c r="E2" s="52" t="s">
        <v>115</v>
      </c>
      <c r="F2" s="38" t="s">
        <v>154</v>
      </c>
    </row>
    <row r="3" spans="2:6" x14ac:dyDescent="0.2">
      <c r="B3" s="39" t="s">
        <v>43</v>
      </c>
      <c r="C3" s="84">
        <f>15.3/100</f>
        <v>0.153</v>
      </c>
      <c r="D3" s="84">
        <f>59.1/100</f>
        <v>0.59099999999999997</v>
      </c>
      <c r="E3" s="84">
        <f>25.6/100</f>
        <v>0.25600000000000001</v>
      </c>
      <c r="F3" s="40">
        <v>7.4</v>
      </c>
    </row>
    <row r="4" spans="2:6" x14ac:dyDescent="0.2">
      <c r="B4" s="39" t="s">
        <v>52</v>
      </c>
      <c r="C4" s="84">
        <f>17/100</f>
        <v>0.17</v>
      </c>
      <c r="D4" s="84">
        <f>57.9/100</f>
        <v>0.57899999999999996</v>
      </c>
      <c r="E4" s="84">
        <f>25.2/100</f>
        <v>0.252</v>
      </c>
      <c r="F4" s="40">
        <v>7.3</v>
      </c>
    </row>
    <row r="45" spans="9:9" x14ac:dyDescent="0.2">
      <c r="I45" s="5" t="s">
        <v>51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9"/>
  <sheetViews>
    <sheetView zoomScaleNormal="100" workbookViewId="0">
      <selection activeCell="K12" sqref="K12"/>
    </sheetView>
  </sheetViews>
  <sheetFormatPr defaultRowHeight="12" x14ac:dyDescent="0.2"/>
  <cols>
    <col min="1" max="16384" width="9.140625" style="1"/>
  </cols>
  <sheetData>
    <row r="2" spans="1:11" x14ac:dyDescent="0.2">
      <c r="A2" s="14" t="s">
        <v>46</v>
      </c>
      <c r="B2" s="14"/>
      <c r="C2" s="14"/>
      <c r="D2" s="17"/>
      <c r="E2" s="14" t="s">
        <v>120</v>
      </c>
      <c r="F2" s="17"/>
      <c r="G2" s="17"/>
    </row>
    <row r="3" spans="1:11" x14ac:dyDescent="0.2">
      <c r="A3" s="14" t="s">
        <v>71</v>
      </c>
      <c r="B3" s="17"/>
    </row>
    <row r="4" spans="1:11" x14ac:dyDescent="0.2">
      <c r="B4" s="8"/>
      <c r="C4" s="2" t="s">
        <v>61</v>
      </c>
      <c r="F4" s="2">
        <v>2013</v>
      </c>
      <c r="G4" s="2">
        <v>2018</v>
      </c>
      <c r="I4" s="2">
        <v>2013</v>
      </c>
      <c r="J4" s="2">
        <v>2018</v>
      </c>
      <c r="K4" s="2" t="s">
        <v>42</v>
      </c>
    </row>
    <row r="5" spans="1:11" x14ac:dyDescent="0.2">
      <c r="B5" s="8"/>
      <c r="C5" s="2"/>
      <c r="E5" s="2" t="s">
        <v>28</v>
      </c>
      <c r="F5" s="1">
        <v>6</v>
      </c>
      <c r="G5" s="1">
        <v>6.6</v>
      </c>
      <c r="I5" s="2">
        <v>6</v>
      </c>
      <c r="J5" s="1">
        <v>6.6</v>
      </c>
      <c r="K5" s="1">
        <f>J5-I5</f>
        <v>0.59999999999999964</v>
      </c>
    </row>
    <row r="6" spans="1:11" x14ac:dyDescent="0.2">
      <c r="B6" s="8"/>
      <c r="C6" s="2"/>
      <c r="E6" s="2"/>
      <c r="F6" s="2"/>
      <c r="G6" s="2"/>
      <c r="I6" s="2"/>
      <c r="J6" s="2"/>
      <c r="K6" s="2"/>
    </row>
    <row r="7" spans="1:11" x14ac:dyDescent="0.2">
      <c r="B7" s="8" t="s">
        <v>6</v>
      </c>
      <c r="C7" s="1">
        <v>7</v>
      </c>
      <c r="E7" s="8" t="s">
        <v>78</v>
      </c>
      <c r="F7" s="1">
        <v>3.7</v>
      </c>
      <c r="G7" s="1">
        <v>4.3</v>
      </c>
      <c r="I7" s="1">
        <v>3.7</v>
      </c>
      <c r="J7" s="1">
        <v>4.3</v>
      </c>
      <c r="K7" s="1">
        <f t="shared" ref="K7:K37" si="0">J7-I7</f>
        <v>0.59999999999999964</v>
      </c>
    </row>
    <row r="8" spans="1:11" x14ac:dyDescent="0.2">
      <c r="B8" s="8" t="s">
        <v>7</v>
      </c>
      <c r="C8" s="1">
        <v>4.3</v>
      </c>
      <c r="E8" s="8" t="s">
        <v>83</v>
      </c>
      <c r="F8" s="1">
        <v>4.3</v>
      </c>
      <c r="G8" s="1">
        <v>5.2</v>
      </c>
      <c r="I8" s="1">
        <v>4.3</v>
      </c>
      <c r="J8" s="1">
        <v>5.2</v>
      </c>
      <c r="K8" s="53">
        <f t="shared" si="0"/>
        <v>0.90000000000000036</v>
      </c>
    </row>
    <row r="9" spans="1:11" x14ac:dyDescent="0.2">
      <c r="B9" s="8" t="s">
        <v>19</v>
      </c>
      <c r="C9" s="1">
        <v>6.7</v>
      </c>
      <c r="E9" s="8" t="s">
        <v>86</v>
      </c>
      <c r="F9" s="1">
        <v>4.5999999999999996</v>
      </c>
      <c r="G9" s="1">
        <v>5.2</v>
      </c>
      <c r="I9" s="1">
        <v>4.5999999999999996</v>
      </c>
      <c r="J9" s="1">
        <v>5.2</v>
      </c>
      <c r="K9" s="1">
        <f t="shared" si="0"/>
        <v>0.60000000000000053</v>
      </c>
    </row>
    <row r="10" spans="1:11" x14ac:dyDescent="0.2">
      <c r="B10" s="8" t="s">
        <v>24</v>
      </c>
      <c r="C10" s="1">
        <v>7.6</v>
      </c>
      <c r="E10" s="8" t="s">
        <v>90</v>
      </c>
      <c r="F10" s="1">
        <v>5.8</v>
      </c>
      <c r="G10" s="1">
        <v>5.2</v>
      </c>
      <c r="I10" s="1">
        <v>5.8</v>
      </c>
      <c r="J10" s="1">
        <v>5.2</v>
      </c>
      <c r="K10" s="1">
        <f t="shared" si="0"/>
        <v>-0.59999999999999964</v>
      </c>
    </row>
    <row r="11" spans="1:11" x14ac:dyDescent="0.2">
      <c r="B11" s="8" t="s">
        <v>44</v>
      </c>
      <c r="C11" s="1">
        <v>6.8</v>
      </c>
      <c r="E11" s="8" t="s">
        <v>89</v>
      </c>
      <c r="F11" s="1">
        <v>5</v>
      </c>
      <c r="G11" s="1">
        <v>5.4</v>
      </c>
      <c r="I11" s="1">
        <v>5</v>
      </c>
      <c r="J11" s="1">
        <v>5.4</v>
      </c>
      <c r="K11" s="1">
        <f t="shared" si="0"/>
        <v>0.40000000000000036</v>
      </c>
    </row>
    <row r="12" spans="1:11" x14ac:dyDescent="0.2">
      <c r="B12" s="8" t="s">
        <v>9</v>
      </c>
      <c r="C12" s="1">
        <v>5.9</v>
      </c>
      <c r="E12" s="8" t="s">
        <v>97</v>
      </c>
      <c r="F12" s="1">
        <v>4.5</v>
      </c>
      <c r="G12" s="1">
        <v>5.4</v>
      </c>
      <c r="I12" s="1">
        <v>4.5</v>
      </c>
      <c r="J12" s="1">
        <v>5.4</v>
      </c>
      <c r="K12" s="53">
        <f t="shared" si="0"/>
        <v>0.90000000000000036</v>
      </c>
    </row>
    <row r="13" spans="1:11" x14ac:dyDescent="0.2">
      <c r="B13" s="8" t="s">
        <v>130</v>
      </c>
      <c r="C13" s="1">
        <v>7.1</v>
      </c>
      <c r="E13" s="8" t="s">
        <v>92</v>
      </c>
      <c r="F13" s="1">
        <v>5.2</v>
      </c>
      <c r="G13" s="1">
        <v>5.5</v>
      </c>
      <c r="I13" s="1">
        <v>5.2</v>
      </c>
      <c r="J13" s="1">
        <v>5.5</v>
      </c>
    </row>
    <row r="14" spans="1:11" x14ac:dyDescent="0.2">
      <c r="B14" s="8" t="s">
        <v>10</v>
      </c>
      <c r="C14" s="1">
        <v>5.2</v>
      </c>
      <c r="E14" s="8" t="s">
        <v>82</v>
      </c>
      <c r="F14" s="1">
        <v>5.4</v>
      </c>
      <c r="G14" s="1">
        <v>5.9</v>
      </c>
      <c r="I14" s="1">
        <v>5.4</v>
      </c>
      <c r="J14" s="1">
        <v>5.9</v>
      </c>
      <c r="K14" s="1">
        <f t="shared" si="0"/>
        <v>0.5</v>
      </c>
    </row>
    <row r="15" spans="1:11" x14ac:dyDescent="0.2">
      <c r="B15" s="8" t="s">
        <v>11</v>
      </c>
      <c r="C15" s="1">
        <v>6.3</v>
      </c>
      <c r="E15" s="8" t="s">
        <v>100</v>
      </c>
      <c r="F15" s="1">
        <v>5.5</v>
      </c>
      <c r="G15" s="10">
        <v>6</v>
      </c>
      <c r="I15" s="1">
        <v>5.5</v>
      </c>
      <c r="J15" s="10">
        <v>6</v>
      </c>
      <c r="K15" s="1">
        <f t="shared" si="0"/>
        <v>0.5</v>
      </c>
    </row>
    <row r="16" spans="1:11" x14ac:dyDescent="0.2">
      <c r="B16" s="8" t="s">
        <v>41</v>
      </c>
      <c r="C16" s="1">
        <v>6.6</v>
      </c>
      <c r="E16" s="8" t="s">
        <v>88</v>
      </c>
      <c r="F16" s="1">
        <v>5.2</v>
      </c>
      <c r="G16" s="1">
        <v>6.1</v>
      </c>
      <c r="I16" s="1">
        <v>5.2</v>
      </c>
      <c r="J16" s="1">
        <v>6.1</v>
      </c>
      <c r="K16" s="1">
        <f t="shared" si="0"/>
        <v>0.89999999999999947</v>
      </c>
    </row>
    <row r="17" spans="2:11" x14ac:dyDescent="0.2">
      <c r="B17" s="8" t="s">
        <v>12</v>
      </c>
      <c r="C17" s="1">
        <v>5.2</v>
      </c>
      <c r="E17" s="8" t="s">
        <v>138</v>
      </c>
      <c r="F17" s="1">
        <v>5.8</v>
      </c>
      <c r="G17" s="1">
        <v>6.3</v>
      </c>
      <c r="I17" s="1">
        <v>5.8</v>
      </c>
      <c r="J17" s="1">
        <v>6.3</v>
      </c>
      <c r="K17" s="1">
        <f t="shared" si="0"/>
        <v>0.5</v>
      </c>
    </row>
    <row r="18" spans="2:11" x14ac:dyDescent="0.2">
      <c r="B18" s="8" t="s">
        <v>21</v>
      </c>
      <c r="C18" s="1">
        <v>6.4</v>
      </c>
      <c r="E18" s="8" t="s">
        <v>96</v>
      </c>
      <c r="F18" s="1">
        <v>5.7</v>
      </c>
      <c r="G18" s="1">
        <v>6.3</v>
      </c>
      <c r="I18" s="1">
        <v>5.7</v>
      </c>
      <c r="J18" s="1">
        <v>6.3</v>
      </c>
      <c r="K18" s="1">
        <f t="shared" si="0"/>
        <v>0.59999999999999964</v>
      </c>
    </row>
    <row r="19" spans="2:11" x14ac:dyDescent="0.2">
      <c r="B19" s="8" t="s">
        <v>8</v>
      </c>
      <c r="C19" s="1">
        <v>6.1</v>
      </c>
      <c r="E19" s="8" t="s">
        <v>99</v>
      </c>
      <c r="F19" s="1">
        <v>5.6</v>
      </c>
      <c r="G19" s="1">
        <v>6.3</v>
      </c>
      <c r="I19" s="1">
        <v>5.6</v>
      </c>
      <c r="J19" s="1">
        <v>6.3</v>
      </c>
      <c r="K19" s="1">
        <f t="shared" si="0"/>
        <v>0.70000000000000018</v>
      </c>
    </row>
    <row r="20" spans="2:11" x14ac:dyDescent="0.2">
      <c r="B20" s="8" t="s">
        <v>15</v>
      </c>
      <c r="C20" s="1">
        <v>5.4</v>
      </c>
      <c r="E20" s="8" t="s">
        <v>87</v>
      </c>
      <c r="F20" s="1">
        <v>5.7</v>
      </c>
      <c r="G20" s="1">
        <v>6.4</v>
      </c>
      <c r="I20" s="1">
        <v>5.7</v>
      </c>
      <c r="J20" s="1">
        <v>6.4</v>
      </c>
      <c r="K20" s="1">
        <f t="shared" si="0"/>
        <v>0.70000000000000018</v>
      </c>
    </row>
    <row r="21" spans="2:11" x14ac:dyDescent="0.2">
      <c r="B21" s="8" t="s">
        <v>14</v>
      </c>
      <c r="C21" s="1">
        <v>5.2</v>
      </c>
      <c r="E21" s="8" t="s">
        <v>85</v>
      </c>
      <c r="F21" s="1">
        <v>6.4</v>
      </c>
      <c r="G21" s="1">
        <v>6.6</v>
      </c>
      <c r="I21" s="1">
        <v>6.4</v>
      </c>
      <c r="J21" s="1">
        <v>6.6</v>
      </c>
      <c r="K21" s="1">
        <f t="shared" si="0"/>
        <v>0.19999999999999929</v>
      </c>
    </row>
    <row r="22" spans="2:11" x14ac:dyDescent="0.2">
      <c r="B22" s="8" t="s">
        <v>40</v>
      </c>
      <c r="C22" s="1">
        <v>6.9</v>
      </c>
      <c r="E22" s="8" t="s">
        <v>98</v>
      </c>
      <c r="F22" s="1">
        <v>6.2</v>
      </c>
      <c r="G22" s="1">
        <v>6.6</v>
      </c>
      <c r="I22" s="1">
        <v>6.2</v>
      </c>
      <c r="J22" s="1">
        <v>6.6</v>
      </c>
      <c r="K22" s="1">
        <f t="shared" si="0"/>
        <v>0.39999999999999947</v>
      </c>
    </row>
    <row r="23" spans="2:11" x14ac:dyDescent="0.2">
      <c r="B23" s="8" t="s">
        <v>13</v>
      </c>
      <c r="C23" s="1">
        <v>5.5</v>
      </c>
      <c r="E23" s="8" t="s">
        <v>133</v>
      </c>
      <c r="F23" s="1">
        <v>6</v>
      </c>
      <c r="G23" s="1">
        <v>6.7</v>
      </c>
      <c r="I23" s="1">
        <v>6</v>
      </c>
      <c r="J23" s="1">
        <v>6.7</v>
      </c>
      <c r="K23" s="1">
        <f t="shared" si="0"/>
        <v>0.70000000000000018</v>
      </c>
    </row>
    <row r="24" spans="2:11" x14ac:dyDescent="0.2">
      <c r="B24" s="8" t="s">
        <v>16</v>
      </c>
      <c r="C24" s="1">
        <v>6.8</v>
      </c>
      <c r="E24" s="8" t="s">
        <v>81</v>
      </c>
      <c r="F24" s="1">
        <v>6.3</v>
      </c>
      <c r="G24" s="1">
        <v>6.8</v>
      </c>
      <c r="I24" s="1">
        <v>6.3</v>
      </c>
      <c r="J24" s="1">
        <v>6.8</v>
      </c>
      <c r="K24" s="1">
        <f t="shared" si="0"/>
        <v>0.5</v>
      </c>
    </row>
    <row r="25" spans="2:11" x14ac:dyDescent="0.2">
      <c r="B25" s="8" t="s">
        <v>25</v>
      </c>
      <c r="C25" s="1">
        <v>7.4</v>
      </c>
      <c r="E25" s="8" t="s">
        <v>93</v>
      </c>
      <c r="F25" s="1">
        <v>6</v>
      </c>
      <c r="G25" s="1">
        <v>6.8</v>
      </c>
      <c r="I25" s="1">
        <v>6</v>
      </c>
      <c r="J25" s="1">
        <v>6.8</v>
      </c>
      <c r="K25" s="1">
        <f t="shared" si="0"/>
        <v>0.79999999999999982</v>
      </c>
    </row>
    <row r="26" spans="2:11" x14ac:dyDescent="0.2">
      <c r="B26" s="8" t="s">
        <v>5</v>
      </c>
      <c r="C26" s="1">
        <v>7.3</v>
      </c>
      <c r="E26" s="8" t="s">
        <v>91</v>
      </c>
      <c r="F26" s="1">
        <v>6.9</v>
      </c>
      <c r="G26" s="1">
        <v>6.9</v>
      </c>
      <c r="I26" s="1">
        <v>6.9</v>
      </c>
      <c r="J26" s="1">
        <v>6.9</v>
      </c>
      <c r="K26" s="1">
        <f t="shared" si="0"/>
        <v>0</v>
      </c>
    </row>
    <row r="27" spans="2:11" x14ac:dyDescent="0.2">
      <c r="B27" s="8" t="s">
        <v>22</v>
      </c>
      <c r="C27" s="1">
        <v>6.3</v>
      </c>
      <c r="E27" s="8" t="s">
        <v>77</v>
      </c>
      <c r="F27" s="1">
        <v>6.9</v>
      </c>
      <c r="G27" s="1">
        <v>7</v>
      </c>
      <c r="I27" s="1">
        <v>6.9</v>
      </c>
      <c r="J27" s="1">
        <v>7</v>
      </c>
      <c r="K27" s="1">
        <f t="shared" si="0"/>
        <v>9.9999999999999645E-2</v>
      </c>
    </row>
    <row r="28" spans="2:11" x14ac:dyDescent="0.2">
      <c r="B28" s="8" t="s">
        <v>17</v>
      </c>
      <c r="C28" s="1">
        <v>5.4</v>
      </c>
      <c r="E28" s="85" t="s">
        <v>146</v>
      </c>
      <c r="F28" s="1">
        <v>5.5</v>
      </c>
      <c r="G28" s="1">
        <v>7.1</v>
      </c>
      <c r="I28" s="1">
        <v>5.5</v>
      </c>
      <c r="J28" s="1">
        <v>7.1</v>
      </c>
      <c r="K28" s="1">
        <f t="shared" si="0"/>
        <v>1.5999999999999996</v>
      </c>
    </row>
    <row r="29" spans="2:11" x14ac:dyDescent="0.2">
      <c r="B29" s="8" t="s">
        <v>18</v>
      </c>
      <c r="C29" s="1">
        <v>6.6</v>
      </c>
      <c r="E29" s="85" t="s">
        <v>148</v>
      </c>
      <c r="F29" s="1">
        <v>6.2</v>
      </c>
      <c r="G29" s="1">
        <v>7.1</v>
      </c>
      <c r="I29" s="1">
        <v>6.2</v>
      </c>
      <c r="J29" s="1">
        <v>7.1</v>
      </c>
      <c r="K29" s="1">
        <f t="shared" si="0"/>
        <v>0.89999999999999947</v>
      </c>
    </row>
    <row r="30" spans="2:11" x14ac:dyDescent="0.2">
      <c r="B30" s="8" t="s">
        <v>23</v>
      </c>
      <c r="C30" s="1">
        <v>6.3</v>
      </c>
      <c r="E30" s="8" t="s">
        <v>95</v>
      </c>
      <c r="F30" s="1">
        <v>7</v>
      </c>
      <c r="G30" s="1">
        <v>7.3</v>
      </c>
      <c r="I30" s="1">
        <v>7</v>
      </c>
      <c r="J30" s="1">
        <v>7.3</v>
      </c>
      <c r="K30" s="1">
        <f t="shared" si="0"/>
        <v>0.29999999999999982</v>
      </c>
    </row>
    <row r="31" spans="2:11" x14ac:dyDescent="0.2">
      <c r="B31" s="8" t="s">
        <v>112</v>
      </c>
      <c r="C31" s="10">
        <v>6</v>
      </c>
      <c r="E31" s="8" t="s">
        <v>94</v>
      </c>
      <c r="F31" s="1">
        <v>7.4</v>
      </c>
      <c r="G31" s="1">
        <v>7.4</v>
      </c>
      <c r="I31" s="1">
        <v>7.4</v>
      </c>
      <c r="J31" s="1">
        <v>7.4</v>
      </c>
    </row>
    <row r="32" spans="2:11" x14ac:dyDescent="0.2">
      <c r="B32" s="8" t="s">
        <v>20</v>
      </c>
      <c r="C32" s="1">
        <v>7.6</v>
      </c>
      <c r="E32" s="8" t="s">
        <v>80</v>
      </c>
      <c r="F32" s="1">
        <v>7.6</v>
      </c>
      <c r="G32" s="1">
        <v>7.6</v>
      </c>
      <c r="I32" s="1">
        <v>7.6</v>
      </c>
      <c r="J32" s="1">
        <v>7.6</v>
      </c>
      <c r="K32" s="1">
        <f t="shared" si="0"/>
        <v>0</v>
      </c>
    </row>
    <row r="33" spans="2:11" x14ac:dyDescent="0.2">
      <c r="B33" s="8" t="s">
        <v>27</v>
      </c>
      <c r="C33" s="1">
        <v>7.6</v>
      </c>
      <c r="E33" s="8" t="s">
        <v>101</v>
      </c>
      <c r="F33" s="1">
        <v>7.5</v>
      </c>
      <c r="G33" s="1">
        <v>7.6</v>
      </c>
      <c r="I33" s="1">
        <v>7.5</v>
      </c>
      <c r="J33" s="1">
        <v>7.6</v>
      </c>
      <c r="K33" s="1">
        <f t="shared" si="0"/>
        <v>9.9999999999999645E-2</v>
      </c>
    </row>
    <row r="34" spans="2:11" x14ac:dyDescent="0.2">
      <c r="B34" s="8" t="s">
        <v>76</v>
      </c>
      <c r="C34" s="1">
        <v>7.1</v>
      </c>
      <c r="E34" s="8" t="s">
        <v>140</v>
      </c>
      <c r="F34" s="10">
        <v>7.5</v>
      </c>
      <c r="G34" s="1">
        <v>7.6</v>
      </c>
      <c r="I34" s="10">
        <v>7.5</v>
      </c>
      <c r="J34" s="1">
        <v>7.6</v>
      </c>
    </row>
    <row r="35" spans="2:11" x14ac:dyDescent="0.2">
      <c r="B35" s="8"/>
      <c r="E35" s="8"/>
      <c r="F35" s="10"/>
      <c r="I35" s="10"/>
      <c r="K35" s="1">
        <f t="shared" si="0"/>
        <v>0</v>
      </c>
    </row>
    <row r="36" spans="2:11" x14ac:dyDescent="0.2">
      <c r="B36" s="8" t="s">
        <v>26</v>
      </c>
      <c r="C36" s="1">
        <v>7.6</v>
      </c>
      <c r="E36" s="8" t="s">
        <v>105</v>
      </c>
      <c r="F36" s="10">
        <v>7.5</v>
      </c>
      <c r="G36" s="1">
        <v>7.6</v>
      </c>
      <c r="I36" s="10">
        <v>7.5</v>
      </c>
      <c r="J36" s="1">
        <v>7.6</v>
      </c>
      <c r="K36" s="1">
        <f t="shared" si="0"/>
        <v>9.9999999999999645E-2</v>
      </c>
    </row>
    <row r="37" spans="2:11" x14ac:dyDescent="0.2">
      <c r="B37" s="8" t="s">
        <v>50</v>
      </c>
      <c r="C37" s="1">
        <v>7.2</v>
      </c>
      <c r="E37" s="8" t="s">
        <v>139</v>
      </c>
      <c r="F37" s="10">
        <v>7.6</v>
      </c>
      <c r="G37" s="1">
        <v>7.2</v>
      </c>
      <c r="I37" s="10">
        <v>7.6</v>
      </c>
      <c r="J37" s="1">
        <v>7.2</v>
      </c>
      <c r="K37" s="1">
        <f t="shared" si="0"/>
        <v>-0.39999999999999947</v>
      </c>
    </row>
    <row r="38" spans="2:11" x14ac:dyDescent="0.2">
      <c r="B38" s="9"/>
    </row>
    <row r="55" spans="14:14" ht="13.5" x14ac:dyDescent="0.2">
      <c r="N55" s="1" t="s">
        <v>151</v>
      </c>
    </row>
    <row r="56" spans="14:14" x14ac:dyDescent="0.2">
      <c r="N56" s="5" t="s">
        <v>68</v>
      </c>
    </row>
    <row r="69" spans="2:3" x14ac:dyDescent="0.2">
      <c r="B69" s="8"/>
      <c r="C69" s="10"/>
    </row>
  </sheetData>
  <sortState ref="B41:C68">
    <sortCondition ref="C41:C68"/>
  </sortState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tabSelected="1" zoomScaleNormal="100" workbookViewId="0">
      <selection activeCell="M46" sqref="M46"/>
    </sheetView>
  </sheetViews>
  <sheetFormatPr defaultRowHeight="12" x14ac:dyDescent="0.2"/>
  <cols>
    <col min="1" max="11" width="9.140625" style="1"/>
    <col min="12" max="12" width="9.140625" style="12"/>
    <col min="13" max="16384" width="9.140625" style="1"/>
  </cols>
  <sheetData>
    <row r="1" spans="2:12" x14ac:dyDescent="0.2">
      <c r="B1" s="14" t="s">
        <v>71</v>
      </c>
      <c r="C1" s="17"/>
      <c r="G1" s="14" t="s">
        <v>46</v>
      </c>
      <c r="H1" s="14"/>
      <c r="I1" s="14"/>
      <c r="J1" s="14"/>
    </row>
    <row r="3" spans="2:12" x14ac:dyDescent="0.2">
      <c r="B3" s="8"/>
      <c r="C3" s="8" t="s">
        <v>1</v>
      </c>
      <c r="D3" s="8" t="s">
        <v>2</v>
      </c>
      <c r="E3" s="8" t="s">
        <v>3</v>
      </c>
      <c r="H3" s="2"/>
      <c r="I3" s="8"/>
      <c r="J3" s="8" t="s">
        <v>1</v>
      </c>
      <c r="K3" s="8" t="s">
        <v>2</v>
      </c>
      <c r="L3" s="11" t="s">
        <v>3</v>
      </c>
    </row>
    <row r="4" spans="2:12" x14ac:dyDescent="0.2">
      <c r="B4" s="8"/>
      <c r="C4" s="8"/>
      <c r="D4" s="8"/>
      <c r="E4" s="8"/>
      <c r="H4" s="2"/>
      <c r="I4" s="8" t="s">
        <v>28</v>
      </c>
      <c r="J4" s="12">
        <f>28.8/100</f>
        <v>0.28800000000000003</v>
      </c>
      <c r="K4" s="12">
        <f>53.3/100</f>
        <v>0.53299999999999992</v>
      </c>
      <c r="L4" s="12">
        <f>17.9/100</f>
        <v>0.17899999999999999</v>
      </c>
    </row>
    <row r="5" spans="2:12" x14ac:dyDescent="0.2">
      <c r="B5" s="8"/>
      <c r="C5" s="8"/>
      <c r="D5" s="8"/>
      <c r="E5" s="8"/>
      <c r="H5" s="2"/>
      <c r="I5" s="8"/>
      <c r="J5" s="8"/>
      <c r="K5" s="8"/>
      <c r="L5" s="8"/>
    </row>
    <row r="6" spans="2:12" x14ac:dyDescent="0.2">
      <c r="B6" s="8" t="s">
        <v>6</v>
      </c>
      <c r="C6" s="12">
        <f>18.7/100</f>
        <v>0.187</v>
      </c>
      <c r="D6" s="12">
        <f>63/100</f>
        <v>0.63</v>
      </c>
      <c r="E6" s="12">
        <f>18.2/100</f>
        <v>0.182</v>
      </c>
      <c r="I6" s="8" t="s">
        <v>78</v>
      </c>
      <c r="J6" s="12">
        <f>70.6/100</f>
        <v>0.70599999999999996</v>
      </c>
      <c r="K6" s="12">
        <f>23.8/100</f>
        <v>0.23800000000000002</v>
      </c>
      <c r="L6" s="12">
        <f>5.6/100</f>
        <v>5.5999999999999994E-2</v>
      </c>
    </row>
    <row r="7" spans="2:12" x14ac:dyDescent="0.2">
      <c r="B7" s="8" t="s">
        <v>7</v>
      </c>
      <c r="C7" s="12">
        <f>70.6/100</f>
        <v>0.70599999999999996</v>
      </c>
      <c r="D7" s="12">
        <f>23.8/100</f>
        <v>0.23800000000000002</v>
      </c>
      <c r="E7" s="12">
        <f>5.6/100</f>
        <v>5.5999999999999994E-2</v>
      </c>
      <c r="I7" s="8" t="s">
        <v>86</v>
      </c>
      <c r="J7" s="12">
        <f>55.4/100</f>
        <v>0.55399999999999994</v>
      </c>
      <c r="K7" s="12">
        <f>36.5/100</f>
        <v>0.36499999999999999</v>
      </c>
      <c r="L7" s="12">
        <f>8.1/100</f>
        <v>8.1000000000000003E-2</v>
      </c>
    </row>
    <row r="8" spans="2:12" x14ac:dyDescent="0.2">
      <c r="B8" s="8" t="s">
        <v>19</v>
      </c>
      <c r="C8" s="12">
        <f>28.4/100</f>
        <v>0.28399999999999997</v>
      </c>
      <c r="D8" s="12">
        <f>52.9/100</f>
        <v>0.52900000000000003</v>
      </c>
      <c r="E8" s="12">
        <f>18.7/100</f>
        <v>0.187</v>
      </c>
      <c r="I8" s="8" t="s">
        <v>83</v>
      </c>
      <c r="J8" s="12">
        <f>53.4/100</f>
        <v>0.53400000000000003</v>
      </c>
      <c r="K8" s="12">
        <f>41.2/100</f>
        <v>0.41200000000000003</v>
      </c>
      <c r="L8" s="12">
        <f>5.3/100</f>
        <v>5.2999999999999999E-2</v>
      </c>
    </row>
    <row r="9" spans="2:12" x14ac:dyDescent="0.2">
      <c r="B9" s="8" t="s">
        <v>24</v>
      </c>
      <c r="C9" s="12">
        <f>18.4/100</f>
        <v>0.184</v>
      </c>
      <c r="D9" s="12">
        <f>40.3/100</f>
        <v>0.40299999999999997</v>
      </c>
      <c r="E9" s="12">
        <f>41.3/100</f>
        <v>0.41299999999999998</v>
      </c>
      <c r="I9" s="8" t="s">
        <v>89</v>
      </c>
      <c r="J9" s="12">
        <f>52.1/100</f>
        <v>0.52100000000000002</v>
      </c>
      <c r="K9" s="12">
        <f>41.9/100</f>
        <v>0.41899999999999998</v>
      </c>
      <c r="L9" s="12">
        <f>6/100</f>
        <v>0.06</v>
      </c>
    </row>
    <row r="10" spans="2:12" x14ac:dyDescent="0.2">
      <c r="B10" s="8" t="s">
        <v>44</v>
      </c>
      <c r="C10" s="12">
        <f>27.9/100</f>
        <v>0.27899999999999997</v>
      </c>
      <c r="D10" s="12">
        <f>47.1/100</f>
        <v>0.47100000000000003</v>
      </c>
      <c r="E10" s="12">
        <f>25/100</f>
        <v>0.25</v>
      </c>
      <c r="I10" s="8" t="s">
        <v>90</v>
      </c>
      <c r="J10" s="12">
        <f>51.9/100</f>
        <v>0.51900000000000002</v>
      </c>
      <c r="K10" s="12">
        <f>40.1/100</f>
        <v>0.40100000000000002</v>
      </c>
      <c r="L10" s="12">
        <f>7.9/100</f>
        <v>7.9000000000000001E-2</v>
      </c>
    </row>
    <row r="11" spans="2:12" x14ac:dyDescent="0.2">
      <c r="B11" s="8" t="s">
        <v>9</v>
      </c>
      <c r="C11" s="12">
        <f>43.1/100</f>
        <v>0.43099999999999999</v>
      </c>
      <c r="D11" s="12">
        <f>47.8/100</f>
        <v>0.47799999999999998</v>
      </c>
      <c r="E11" s="12">
        <f>9.1/100</f>
        <v>9.0999999999999998E-2</v>
      </c>
      <c r="I11" s="8" t="s">
        <v>132</v>
      </c>
      <c r="J11" s="12">
        <f>50.9/100</f>
        <v>0.50900000000000001</v>
      </c>
      <c r="K11" s="12">
        <f>40.8/100</f>
        <v>0.40799999999999997</v>
      </c>
      <c r="L11" s="12">
        <f>8.3/100</f>
        <v>8.3000000000000004E-2</v>
      </c>
    </row>
    <row r="12" spans="2:12" x14ac:dyDescent="0.2">
      <c r="B12" s="8" t="s">
        <v>130</v>
      </c>
      <c r="C12" s="12">
        <f>22.7/100</f>
        <v>0.22699999999999998</v>
      </c>
      <c r="D12" s="12">
        <f>50.8/100</f>
        <v>0.50800000000000001</v>
      </c>
      <c r="E12" s="12">
        <f>26.5/100</f>
        <v>0.26500000000000001</v>
      </c>
      <c r="I12" s="8" t="s">
        <v>92</v>
      </c>
      <c r="J12" s="12">
        <f>48.8/100</f>
        <v>0.48799999999999999</v>
      </c>
      <c r="K12" s="12">
        <f>45.5/100</f>
        <v>0.45500000000000002</v>
      </c>
      <c r="L12" s="12">
        <f>5.7/100</f>
        <v>5.7000000000000002E-2</v>
      </c>
    </row>
    <row r="13" spans="2:12" x14ac:dyDescent="0.2">
      <c r="B13" s="8" t="s">
        <v>10</v>
      </c>
      <c r="C13" s="12">
        <f>53.4/100</f>
        <v>0.53400000000000003</v>
      </c>
      <c r="D13" s="12">
        <f>41.2/100</f>
        <v>0.41200000000000003</v>
      </c>
      <c r="E13" s="12">
        <f>5.3/100</f>
        <v>5.2999999999999999E-2</v>
      </c>
      <c r="I13" s="8" t="s">
        <v>82</v>
      </c>
      <c r="J13" s="12">
        <f>43.1/100</f>
        <v>0.43099999999999999</v>
      </c>
      <c r="K13" s="12">
        <f>47.8/100</f>
        <v>0.47799999999999998</v>
      </c>
      <c r="L13" s="12">
        <f>9.1/100</f>
        <v>9.0999999999999998E-2</v>
      </c>
    </row>
    <row r="14" spans="2:12" x14ac:dyDescent="0.2">
      <c r="B14" s="8" t="s">
        <v>11</v>
      </c>
      <c r="C14" s="12">
        <f>32.5/100</f>
        <v>0.32500000000000001</v>
      </c>
      <c r="D14" s="12">
        <f>55.3/100</f>
        <v>0.55299999999999994</v>
      </c>
      <c r="E14" s="12">
        <f>12.3/100</f>
        <v>0.12300000000000001</v>
      </c>
      <c r="I14" s="8" t="s">
        <v>136</v>
      </c>
      <c r="J14" s="12">
        <f>42.6/100</f>
        <v>0.42599999999999999</v>
      </c>
      <c r="K14" s="12">
        <f>43.3/100</f>
        <v>0.433</v>
      </c>
      <c r="L14" s="12">
        <f>14.1/100</f>
        <v>0.14099999999999999</v>
      </c>
    </row>
    <row r="15" spans="2:12" x14ac:dyDescent="0.2">
      <c r="B15" s="8" t="s">
        <v>41</v>
      </c>
      <c r="C15" s="12">
        <f>25.8/100</f>
        <v>0.25800000000000001</v>
      </c>
      <c r="D15" s="12">
        <f>62.1/100</f>
        <v>0.621</v>
      </c>
      <c r="E15" s="12">
        <f>12/100</f>
        <v>0.12</v>
      </c>
      <c r="I15" s="8" t="s">
        <v>88</v>
      </c>
      <c r="J15" s="12">
        <f>37/100</f>
        <v>0.37</v>
      </c>
      <c r="K15" s="12">
        <f>52.5/100</f>
        <v>0.52500000000000002</v>
      </c>
      <c r="L15" s="12">
        <f>10.5/100</f>
        <v>0.105</v>
      </c>
    </row>
    <row r="16" spans="2:12" x14ac:dyDescent="0.2">
      <c r="B16" s="8" t="s">
        <v>12</v>
      </c>
      <c r="C16" s="12">
        <f>55.4/100</f>
        <v>0.55399999999999994</v>
      </c>
      <c r="D16" s="12">
        <f>36.5/100</f>
        <v>0.36499999999999999</v>
      </c>
      <c r="E16" s="12">
        <f>8.1/100</f>
        <v>8.1000000000000003E-2</v>
      </c>
      <c r="I16" s="8" t="s">
        <v>96</v>
      </c>
      <c r="J16" s="12">
        <f>33.7/100</f>
        <v>0.33700000000000002</v>
      </c>
      <c r="K16" s="12">
        <f>48.9/100</f>
        <v>0.48899999999999999</v>
      </c>
      <c r="L16" s="12">
        <f>17.3/100</f>
        <v>0.17300000000000001</v>
      </c>
    </row>
    <row r="17" spans="2:12" x14ac:dyDescent="0.2">
      <c r="B17" s="8" t="s">
        <v>21</v>
      </c>
      <c r="C17" s="12">
        <f>27/100</f>
        <v>0.27</v>
      </c>
      <c r="D17" s="12">
        <f>62.2/100</f>
        <v>0.622</v>
      </c>
      <c r="E17" s="12">
        <f>10.8/100</f>
        <v>0.10800000000000001</v>
      </c>
      <c r="I17" s="8" t="s">
        <v>99</v>
      </c>
      <c r="J17" s="12">
        <f>33.6/100</f>
        <v>0.33600000000000002</v>
      </c>
      <c r="K17" s="12">
        <f>53/100</f>
        <v>0.53</v>
      </c>
      <c r="L17" s="12">
        <f>13.3/100</f>
        <v>0.13300000000000001</v>
      </c>
    </row>
    <row r="18" spans="2:12" x14ac:dyDescent="0.2">
      <c r="B18" s="8" t="s">
        <v>8</v>
      </c>
      <c r="C18" s="12">
        <f>37/100</f>
        <v>0.37</v>
      </c>
      <c r="D18" s="12">
        <f>52.5/100</f>
        <v>0.52500000000000002</v>
      </c>
      <c r="E18" s="12">
        <f>10.5/100</f>
        <v>0.105</v>
      </c>
      <c r="I18" s="8" t="s">
        <v>138</v>
      </c>
      <c r="J18" s="12">
        <f>32.5/100</f>
        <v>0.32500000000000001</v>
      </c>
      <c r="K18" s="12">
        <f>55.3/100</f>
        <v>0.55299999999999994</v>
      </c>
      <c r="L18" s="12">
        <f>12.3/100</f>
        <v>0.12300000000000001</v>
      </c>
    </row>
    <row r="19" spans="2:12" x14ac:dyDescent="0.2">
      <c r="B19" s="8" t="s">
        <v>15</v>
      </c>
      <c r="C19" s="12">
        <f>52.1/100</f>
        <v>0.52100000000000002</v>
      </c>
      <c r="D19" s="12">
        <f>41.9/100</f>
        <v>0.41899999999999998</v>
      </c>
      <c r="E19" s="12">
        <f>6/100</f>
        <v>0.06</v>
      </c>
      <c r="I19" s="8" t="s">
        <v>133</v>
      </c>
      <c r="J19" s="12">
        <f>28.4/100</f>
        <v>0.28399999999999997</v>
      </c>
      <c r="K19" s="12">
        <f>52.9/100</f>
        <v>0.52900000000000003</v>
      </c>
      <c r="L19" s="12">
        <f>18.7/100</f>
        <v>0.187</v>
      </c>
    </row>
    <row r="20" spans="2:12" x14ac:dyDescent="0.2">
      <c r="B20" s="8" t="s">
        <v>14</v>
      </c>
      <c r="C20" s="12">
        <f>51.9/100</f>
        <v>0.51900000000000002</v>
      </c>
      <c r="D20" s="12">
        <f>40.1/100</f>
        <v>0.40100000000000002</v>
      </c>
      <c r="E20" s="12">
        <f>7.9/100</f>
        <v>7.9000000000000001E-2</v>
      </c>
      <c r="I20" s="8" t="s">
        <v>81</v>
      </c>
      <c r="J20" s="12">
        <f>27.9/100</f>
        <v>0.27899999999999997</v>
      </c>
      <c r="K20" s="12">
        <f>47.1/100</f>
        <v>0.47100000000000003</v>
      </c>
      <c r="L20" s="12">
        <f>25/100</f>
        <v>0.25</v>
      </c>
    </row>
    <row r="21" spans="2:12" x14ac:dyDescent="0.2">
      <c r="B21" s="8" t="s">
        <v>40</v>
      </c>
      <c r="C21" s="12">
        <f>22.7/100</f>
        <v>0.22699999999999998</v>
      </c>
      <c r="D21" s="12">
        <f>54.5/100</f>
        <v>0.54500000000000004</v>
      </c>
      <c r="E21" s="12">
        <f>22.8/100</f>
        <v>0.22800000000000001</v>
      </c>
      <c r="I21" s="8" t="s">
        <v>87</v>
      </c>
      <c r="J21" s="12">
        <f>27/100</f>
        <v>0.27</v>
      </c>
      <c r="K21" s="12">
        <f>62.2/100</f>
        <v>0.622</v>
      </c>
      <c r="L21" s="12">
        <f>10.8/100</f>
        <v>0.10800000000000001</v>
      </c>
    </row>
    <row r="22" spans="2:12" x14ac:dyDescent="0.2">
      <c r="B22" s="8" t="s">
        <v>13</v>
      </c>
      <c r="C22" s="12">
        <f>48.8/100</f>
        <v>0.48799999999999999</v>
      </c>
      <c r="D22" s="12">
        <f>45.5/100</f>
        <v>0.45500000000000002</v>
      </c>
      <c r="E22" s="12">
        <f>5.7/100</f>
        <v>5.7000000000000002E-2</v>
      </c>
      <c r="I22" s="8" t="s">
        <v>85</v>
      </c>
      <c r="J22" s="12">
        <f>25.8/100</f>
        <v>0.25800000000000001</v>
      </c>
      <c r="K22" s="12">
        <f>62.1/100</f>
        <v>0.621</v>
      </c>
      <c r="L22" s="12">
        <f>12/100</f>
        <v>0.12</v>
      </c>
    </row>
    <row r="23" spans="2:12" x14ac:dyDescent="0.2">
      <c r="B23" s="8" t="s">
        <v>16</v>
      </c>
      <c r="C23" s="12">
        <f>25.6/100</f>
        <v>0.25600000000000001</v>
      </c>
      <c r="D23" s="12">
        <f>57.5/100</f>
        <v>0.57499999999999996</v>
      </c>
      <c r="E23" s="12">
        <f>16.9/100</f>
        <v>0.16899999999999998</v>
      </c>
      <c r="I23" s="8" t="s">
        <v>98</v>
      </c>
      <c r="J23" s="12">
        <f>25.7/100</f>
        <v>0.25700000000000001</v>
      </c>
      <c r="K23" s="12">
        <f>61.9/100</f>
        <v>0.61899999999999999</v>
      </c>
      <c r="L23" s="12">
        <f>12.4/100</f>
        <v>0.124</v>
      </c>
    </row>
    <row r="24" spans="2:12" x14ac:dyDescent="0.2">
      <c r="B24" s="8" t="s">
        <v>25</v>
      </c>
      <c r="C24" s="12">
        <f>12.3/100</f>
        <v>0.12300000000000001</v>
      </c>
      <c r="D24" s="12">
        <f>64/100</f>
        <v>0.64</v>
      </c>
      <c r="E24" s="12">
        <f>23.8/100</f>
        <v>0.23800000000000002</v>
      </c>
      <c r="I24" s="8" t="s">
        <v>93</v>
      </c>
      <c r="J24" s="12">
        <f>25.6/100</f>
        <v>0.25600000000000001</v>
      </c>
      <c r="K24" s="12">
        <f>57.5/100</f>
        <v>0.57499999999999996</v>
      </c>
      <c r="L24" s="12">
        <f>16.9/100</f>
        <v>0.16899999999999998</v>
      </c>
    </row>
    <row r="25" spans="2:12" x14ac:dyDescent="0.2">
      <c r="B25" s="8" t="s">
        <v>5</v>
      </c>
      <c r="C25" s="12">
        <f>20.1/100</f>
        <v>0.20100000000000001</v>
      </c>
      <c r="D25" s="12">
        <f>51.5/100</f>
        <v>0.51500000000000001</v>
      </c>
      <c r="E25" s="12">
        <f>28.4/100</f>
        <v>0.28399999999999997</v>
      </c>
      <c r="I25" s="85" t="s">
        <v>146</v>
      </c>
      <c r="J25" s="12">
        <f>22.7/100</f>
        <v>0.22699999999999998</v>
      </c>
      <c r="K25" s="12">
        <f>50.8/100</f>
        <v>0.50800000000000001</v>
      </c>
      <c r="L25" s="12">
        <f>26.5/100</f>
        <v>0.26500000000000001</v>
      </c>
    </row>
    <row r="26" spans="2:12" x14ac:dyDescent="0.2">
      <c r="B26" s="8" t="s">
        <v>22</v>
      </c>
      <c r="C26" s="12">
        <f>33.7/100</f>
        <v>0.33700000000000002</v>
      </c>
      <c r="D26" s="12">
        <f>48.9/100</f>
        <v>0.48899999999999999</v>
      </c>
      <c r="E26" s="12">
        <f>17.3/100</f>
        <v>0.17300000000000001</v>
      </c>
      <c r="I26" s="8" t="s">
        <v>91</v>
      </c>
      <c r="J26" s="12">
        <f>22.7/100</f>
        <v>0.22699999999999998</v>
      </c>
      <c r="K26" s="12">
        <f>54.5/100</f>
        <v>0.54500000000000004</v>
      </c>
      <c r="L26" s="12">
        <f>22.8/100</f>
        <v>0.22800000000000001</v>
      </c>
    </row>
    <row r="27" spans="2:12" x14ac:dyDescent="0.2">
      <c r="B27" s="8" t="s">
        <v>17</v>
      </c>
      <c r="C27" s="12">
        <f>50.9/100</f>
        <v>0.50900000000000001</v>
      </c>
      <c r="D27" s="12">
        <f>40.8/100</f>
        <v>0.40799999999999997</v>
      </c>
      <c r="E27" s="12">
        <f>8.3/100</f>
        <v>8.3000000000000004E-2</v>
      </c>
      <c r="I27" s="85" t="s">
        <v>148</v>
      </c>
      <c r="J27" s="12">
        <f>21.4/100</f>
        <v>0.214</v>
      </c>
      <c r="K27" s="12">
        <f>50.7/100</f>
        <v>0.50700000000000001</v>
      </c>
      <c r="L27" s="12">
        <f>27.9/100</f>
        <v>0.27899999999999997</v>
      </c>
    </row>
    <row r="28" spans="2:12" x14ac:dyDescent="0.2">
      <c r="B28" s="8" t="s">
        <v>18</v>
      </c>
      <c r="C28" s="12">
        <f>25.7/100</f>
        <v>0.25700000000000001</v>
      </c>
      <c r="D28" s="12">
        <f>61.9/100</f>
        <v>0.61899999999999999</v>
      </c>
      <c r="E28" s="12">
        <f>12.4/100</f>
        <v>0.124</v>
      </c>
      <c r="I28" s="8" t="s">
        <v>95</v>
      </c>
      <c r="J28" s="12">
        <f>20.1/100</f>
        <v>0.20100000000000001</v>
      </c>
      <c r="K28" s="12">
        <f>51.5/100</f>
        <v>0.51500000000000001</v>
      </c>
      <c r="L28" s="12">
        <f>28.4/100</f>
        <v>0.28399999999999997</v>
      </c>
    </row>
    <row r="29" spans="2:12" x14ac:dyDescent="0.2">
      <c r="B29" s="8" t="s">
        <v>23</v>
      </c>
      <c r="C29" s="12">
        <f>33.6/100</f>
        <v>0.33600000000000002</v>
      </c>
      <c r="D29" s="12">
        <f>53/100</f>
        <v>0.53</v>
      </c>
      <c r="E29" s="12">
        <f>13.3/100</f>
        <v>0.13300000000000001</v>
      </c>
      <c r="I29" s="8" t="s">
        <v>77</v>
      </c>
      <c r="J29" s="12">
        <f>18.7/100</f>
        <v>0.187</v>
      </c>
      <c r="K29" s="12">
        <f>63/100</f>
        <v>0.63</v>
      </c>
      <c r="L29" s="12">
        <f>18.2/100</f>
        <v>0.182</v>
      </c>
    </row>
    <row r="30" spans="2:12" x14ac:dyDescent="0.2">
      <c r="B30" s="8" t="s">
        <v>112</v>
      </c>
      <c r="C30" s="12">
        <f>42.6/100</f>
        <v>0.42599999999999999</v>
      </c>
      <c r="D30" s="12">
        <f>43.3/100</f>
        <v>0.433</v>
      </c>
      <c r="E30" s="12">
        <f>14.1/100</f>
        <v>0.14099999999999999</v>
      </c>
      <c r="I30" s="8" t="s">
        <v>80</v>
      </c>
      <c r="J30" s="12">
        <f>18.4/100</f>
        <v>0.184</v>
      </c>
      <c r="K30" s="12">
        <f>40.3/100</f>
        <v>0.40299999999999997</v>
      </c>
      <c r="L30" s="12">
        <f>41.3/100</f>
        <v>0.41299999999999998</v>
      </c>
    </row>
    <row r="31" spans="2:12" x14ac:dyDescent="0.2">
      <c r="B31" s="8" t="s">
        <v>20</v>
      </c>
      <c r="C31" s="12">
        <f>11.6/100</f>
        <v>0.11599999999999999</v>
      </c>
      <c r="D31" s="12">
        <f>56.4/100</f>
        <v>0.56399999999999995</v>
      </c>
      <c r="E31" s="12">
        <f>31.9/100</f>
        <v>0.31900000000000001</v>
      </c>
      <c r="I31" s="8" t="s">
        <v>102</v>
      </c>
      <c r="J31" s="12">
        <f>16.5/100</f>
        <v>0.16500000000000001</v>
      </c>
      <c r="K31" s="12">
        <f>45.8/100</f>
        <v>0.45799999999999996</v>
      </c>
      <c r="L31" s="12">
        <f>37.7/100</f>
        <v>0.377</v>
      </c>
    </row>
    <row r="32" spans="2:12" x14ac:dyDescent="0.2">
      <c r="B32" s="8" t="s">
        <v>27</v>
      </c>
      <c r="C32" s="12">
        <f>16.5/100</f>
        <v>0.16500000000000001</v>
      </c>
      <c r="D32" s="12">
        <f>45.8/100</f>
        <v>0.45799999999999996</v>
      </c>
      <c r="E32" s="12">
        <f>37.7/100</f>
        <v>0.377</v>
      </c>
      <c r="I32" s="8" t="s">
        <v>94</v>
      </c>
      <c r="J32" s="12">
        <f>12.3/100</f>
        <v>0.12300000000000001</v>
      </c>
      <c r="K32" s="12">
        <f>64/100</f>
        <v>0.64</v>
      </c>
      <c r="L32" s="12">
        <f>23.8/100</f>
        <v>0.23800000000000002</v>
      </c>
    </row>
    <row r="33" spans="2:12" x14ac:dyDescent="0.2">
      <c r="B33" s="8" t="s">
        <v>76</v>
      </c>
      <c r="C33" s="12">
        <f>21.4/100</f>
        <v>0.214</v>
      </c>
      <c r="D33" s="12">
        <f>50.7/100</f>
        <v>0.50700000000000001</v>
      </c>
      <c r="E33" s="12">
        <f>27.9/100</f>
        <v>0.27899999999999997</v>
      </c>
      <c r="I33" s="8" t="s">
        <v>101</v>
      </c>
      <c r="J33" s="12">
        <f>11.6/100</f>
        <v>0.11599999999999999</v>
      </c>
      <c r="K33" s="12">
        <f>56.4/100</f>
        <v>0.56399999999999995</v>
      </c>
      <c r="L33" s="12">
        <f>31.9/100</f>
        <v>0.31900000000000001</v>
      </c>
    </row>
    <row r="34" spans="2:12" x14ac:dyDescent="0.2">
      <c r="B34" s="8"/>
      <c r="C34" s="12"/>
      <c r="D34" s="12"/>
      <c r="E34" s="12"/>
      <c r="I34" s="8"/>
      <c r="J34" s="9"/>
      <c r="K34" s="9"/>
      <c r="L34" s="9"/>
    </row>
    <row r="35" spans="2:12" x14ac:dyDescent="0.2">
      <c r="B35" s="8" t="s">
        <v>26</v>
      </c>
      <c r="C35" s="12">
        <f>15.8/100</f>
        <v>0.158</v>
      </c>
      <c r="D35" s="12">
        <f>48.8/100</f>
        <v>0.48799999999999999</v>
      </c>
      <c r="E35" s="12">
        <f>35.3/100</f>
        <v>0.35299999999999998</v>
      </c>
      <c r="I35" s="8" t="s">
        <v>105</v>
      </c>
      <c r="J35" s="12">
        <f>15.8/100</f>
        <v>0.158</v>
      </c>
      <c r="K35" s="12">
        <f>48.8/100</f>
        <v>0.48799999999999999</v>
      </c>
      <c r="L35" s="12">
        <f>35.3/100</f>
        <v>0.35299999999999998</v>
      </c>
    </row>
    <row r="36" spans="2:12" x14ac:dyDescent="0.2">
      <c r="B36" s="8" t="s">
        <v>50</v>
      </c>
      <c r="C36" s="12">
        <f>18.7/100</f>
        <v>0.187</v>
      </c>
      <c r="D36" s="12">
        <f>54.3/100</f>
        <v>0.54299999999999993</v>
      </c>
      <c r="E36" s="12">
        <f>27/100</f>
        <v>0.27</v>
      </c>
      <c r="I36" s="8" t="s">
        <v>141</v>
      </c>
      <c r="J36" s="12">
        <f>18.7/100</f>
        <v>0.187</v>
      </c>
      <c r="K36" s="12">
        <f>54.3/100</f>
        <v>0.54299999999999993</v>
      </c>
      <c r="L36" s="12">
        <f>27/100</f>
        <v>0.27</v>
      </c>
    </row>
    <row r="37" spans="2:12" x14ac:dyDescent="0.2">
      <c r="B37" s="8"/>
      <c r="C37" s="12"/>
      <c r="D37" s="12"/>
      <c r="E37" s="12"/>
      <c r="I37" s="9"/>
      <c r="J37" s="9"/>
      <c r="K37" s="9"/>
    </row>
    <row r="38" spans="2:12" x14ac:dyDescent="0.2">
      <c r="B38" s="8" t="s">
        <v>28</v>
      </c>
      <c r="C38" s="12">
        <f>28.8/100</f>
        <v>0.28800000000000003</v>
      </c>
      <c r="D38" s="12">
        <f>53.3/100</f>
        <v>0.53299999999999992</v>
      </c>
      <c r="E38" s="12">
        <f>17.9/100</f>
        <v>0.17899999999999999</v>
      </c>
    </row>
    <row r="40" spans="2:12" x14ac:dyDescent="0.2">
      <c r="L40" s="1"/>
    </row>
    <row r="41" spans="2:12" x14ac:dyDescent="0.2">
      <c r="L41" s="1"/>
    </row>
    <row r="49" spans="17:17" x14ac:dyDescent="0.2">
      <c r="Q49" s="1" t="s">
        <v>69</v>
      </c>
    </row>
    <row r="50" spans="17:17" x14ac:dyDescent="0.2">
      <c r="Q50" s="5" t="s">
        <v>70</v>
      </c>
    </row>
    <row r="56" spans="17:17" ht="13.5" x14ac:dyDescent="0.2">
      <c r="Q56" s="1" t="s">
        <v>151</v>
      </c>
    </row>
    <row r="57" spans="17:17" x14ac:dyDescent="0.2">
      <c r="Q57" s="5" t="s">
        <v>70</v>
      </c>
    </row>
  </sheetData>
  <sortState ref="I6:L33">
    <sortCondition descending="1" ref="J6:J33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7"/>
  <sheetViews>
    <sheetView zoomScaleNormal="100" workbookViewId="0">
      <selection activeCell="Q47" sqref="Q47"/>
    </sheetView>
  </sheetViews>
  <sheetFormatPr defaultRowHeight="12" x14ac:dyDescent="0.2"/>
  <cols>
    <col min="1" max="6" width="9.140625" style="1"/>
    <col min="7" max="7" width="12.5703125" style="1" customWidth="1"/>
    <col min="8" max="16384" width="9.140625" style="1"/>
  </cols>
  <sheetData>
    <row r="2" spans="2:9" x14ac:dyDescent="0.2">
      <c r="C2" s="14" t="s">
        <v>129</v>
      </c>
      <c r="D2" s="14"/>
      <c r="E2" s="14"/>
      <c r="F2" s="17"/>
      <c r="G2" s="14" t="s">
        <v>122</v>
      </c>
      <c r="H2" s="14"/>
      <c r="I2" s="17"/>
    </row>
    <row r="3" spans="2:9" x14ac:dyDescent="0.2">
      <c r="G3" s="2"/>
      <c r="H3" s="2"/>
    </row>
    <row r="4" spans="2:9" x14ac:dyDescent="0.2">
      <c r="C4" s="2">
        <v>2013</v>
      </c>
      <c r="D4" s="2">
        <v>2018</v>
      </c>
    </row>
    <row r="5" spans="2:9" x14ac:dyDescent="0.2">
      <c r="B5" s="2" t="s">
        <v>6</v>
      </c>
      <c r="C5" s="1">
        <v>7.5</v>
      </c>
      <c r="D5" s="1">
        <v>7.5</v>
      </c>
      <c r="H5" s="2">
        <v>2013</v>
      </c>
      <c r="I5" s="2">
        <v>2018</v>
      </c>
    </row>
    <row r="6" spans="2:9" x14ac:dyDescent="0.2">
      <c r="B6" s="2" t="s">
        <v>7</v>
      </c>
      <c r="C6" s="1">
        <v>6</v>
      </c>
      <c r="D6" s="1">
        <v>6.4</v>
      </c>
      <c r="G6" s="2" t="s">
        <v>28</v>
      </c>
      <c r="H6" s="2">
        <v>7.1</v>
      </c>
      <c r="I6" s="2">
        <v>7.2</v>
      </c>
    </row>
    <row r="7" spans="2:9" x14ac:dyDescent="0.2">
      <c r="B7" s="2" t="s">
        <v>19</v>
      </c>
      <c r="C7" s="1">
        <v>7.4</v>
      </c>
      <c r="D7" s="1">
        <v>7.4</v>
      </c>
    </row>
    <row r="8" spans="2:9" x14ac:dyDescent="0.2">
      <c r="B8" s="2" t="s">
        <v>24</v>
      </c>
      <c r="C8" s="1">
        <v>8.1</v>
      </c>
      <c r="D8" s="1">
        <v>7.6</v>
      </c>
      <c r="G8" s="2" t="s">
        <v>83</v>
      </c>
      <c r="H8" s="1">
        <v>6.1</v>
      </c>
      <c r="I8" s="1">
        <v>6.2</v>
      </c>
    </row>
    <row r="9" spans="2:9" x14ac:dyDescent="0.2">
      <c r="B9" s="2" t="s">
        <v>44</v>
      </c>
      <c r="C9" s="1">
        <v>6.9</v>
      </c>
      <c r="D9" s="1">
        <v>7</v>
      </c>
      <c r="G9" s="2" t="s">
        <v>78</v>
      </c>
      <c r="H9" s="1">
        <v>6</v>
      </c>
      <c r="I9" s="1">
        <v>6.4</v>
      </c>
    </row>
    <row r="10" spans="2:9" x14ac:dyDescent="0.2">
      <c r="B10" s="2" t="s">
        <v>9</v>
      </c>
      <c r="C10" s="1">
        <v>7.3</v>
      </c>
      <c r="D10" s="1">
        <v>7.6</v>
      </c>
      <c r="G10" s="2" t="s">
        <v>81</v>
      </c>
      <c r="H10" s="1">
        <v>6.9</v>
      </c>
      <c r="I10" s="1">
        <v>7</v>
      </c>
    </row>
    <row r="11" spans="2:9" x14ac:dyDescent="0.2">
      <c r="B11" s="2" t="s">
        <v>111</v>
      </c>
      <c r="C11" s="1">
        <v>7.2</v>
      </c>
      <c r="D11" s="1">
        <v>7.8</v>
      </c>
      <c r="G11" s="2" t="s">
        <v>86</v>
      </c>
      <c r="H11" s="1">
        <v>7</v>
      </c>
      <c r="I11" s="1">
        <v>7</v>
      </c>
    </row>
    <row r="12" spans="2:9" x14ac:dyDescent="0.2">
      <c r="B12" s="2" t="s">
        <v>10</v>
      </c>
      <c r="C12" s="1">
        <v>6.1</v>
      </c>
      <c r="D12" s="1">
        <v>6.2</v>
      </c>
      <c r="G12" s="2" t="s">
        <v>90</v>
      </c>
      <c r="H12" s="1">
        <v>7.5</v>
      </c>
      <c r="I12" s="1">
        <v>7</v>
      </c>
    </row>
    <row r="13" spans="2:9" x14ac:dyDescent="0.2">
      <c r="B13" s="2" t="s">
        <v>11</v>
      </c>
      <c r="C13" s="1">
        <v>6.9</v>
      </c>
      <c r="D13" s="1">
        <v>7.3</v>
      </c>
      <c r="G13" s="2" t="s">
        <v>92</v>
      </c>
      <c r="H13" s="1">
        <v>7.1</v>
      </c>
      <c r="I13" s="1">
        <v>7.1</v>
      </c>
    </row>
    <row r="14" spans="2:9" x14ac:dyDescent="0.2">
      <c r="B14" s="2" t="s">
        <v>41</v>
      </c>
      <c r="C14" s="1">
        <v>7.2</v>
      </c>
      <c r="D14" s="1">
        <v>7.3</v>
      </c>
      <c r="G14" s="2" t="s">
        <v>97</v>
      </c>
      <c r="H14" s="1">
        <v>7</v>
      </c>
      <c r="I14" s="1">
        <v>7.1</v>
      </c>
    </row>
    <row r="15" spans="2:9" x14ac:dyDescent="0.2">
      <c r="B15" s="2" t="s">
        <v>12</v>
      </c>
      <c r="C15" s="1">
        <v>7</v>
      </c>
      <c r="D15" s="1">
        <v>7</v>
      </c>
      <c r="G15" s="2" t="s">
        <v>136</v>
      </c>
      <c r="H15" s="1">
        <v>7.2</v>
      </c>
      <c r="I15" s="1">
        <v>7.1</v>
      </c>
    </row>
    <row r="16" spans="2:9" x14ac:dyDescent="0.2">
      <c r="B16" s="2" t="s">
        <v>21</v>
      </c>
      <c r="C16" s="1">
        <v>7</v>
      </c>
      <c r="D16" s="1">
        <v>7.2</v>
      </c>
      <c r="G16" s="2" t="s">
        <v>87</v>
      </c>
      <c r="H16" s="1">
        <v>7</v>
      </c>
      <c r="I16" s="1">
        <v>7.2</v>
      </c>
    </row>
    <row r="17" spans="2:9" x14ac:dyDescent="0.2">
      <c r="B17" s="2" t="s">
        <v>8</v>
      </c>
      <c r="C17" s="1">
        <v>7.2</v>
      </c>
      <c r="D17" s="1">
        <v>7.3</v>
      </c>
      <c r="G17" s="2" t="s">
        <v>98</v>
      </c>
      <c r="H17" s="1">
        <v>7</v>
      </c>
      <c r="I17" s="1">
        <v>7.2</v>
      </c>
    </row>
    <row r="18" spans="2:9" x14ac:dyDescent="0.2">
      <c r="B18" s="2" t="s">
        <v>15</v>
      </c>
      <c r="C18" s="1">
        <v>7.3</v>
      </c>
      <c r="D18" s="1">
        <v>7.4</v>
      </c>
      <c r="G18" s="44" t="s">
        <v>148</v>
      </c>
      <c r="H18" s="1">
        <v>7</v>
      </c>
      <c r="I18" s="1">
        <v>7.2</v>
      </c>
    </row>
    <row r="19" spans="2:9" x14ac:dyDescent="0.2">
      <c r="B19" s="2" t="s">
        <v>14</v>
      </c>
      <c r="C19" s="1">
        <v>7.5</v>
      </c>
      <c r="D19" s="1">
        <v>7</v>
      </c>
      <c r="G19" s="2" t="s">
        <v>138</v>
      </c>
      <c r="H19" s="1">
        <v>6.9</v>
      </c>
      <c r="I19" s="1">
        <v>7.3</v>
      </c>
    </row>
    <row r="20" spans="2:9" x14ac:dyDescent="0.2">
      <c r="B20" s="2" t="s">
        <v>40</v>
      </c>
      <c r="C20" s="1">
        <v>7.5</v>
      </c>
      <c r="D20" s="1">
        <v>7.3</v>
      </c>
      <c r="G20" s="2" t="s">
        <v>85</v>
      </c>
      <c r="H20" s="1">
        <v>7.2</v>
      </c>
      <c r="I20" s="1">
        <v>7.3</v>
      </c>
    </row>
    <row r="21" spans="2:9" x14ac:dyDescent="0.2">
      <c r="B21" s="2" t="s">
        <v>13</v>
      </c>
      <c r="C21" s="1">
        <v>7.1</v>
      </c>
      <c r="D21" s="1">
        <v>7.1</v>
      </c>
      <c r="G21" s="2" t="s">
        <v>88</v>
      </c>
      <c r="H21" s="1">
        <v>7.2</v>
      </c>
      <c r="I21" s="1">
        <v>7.3</v>
      </c>
    </row>
    <row r="22" spans="2:9" x14ac:dyDescent="0.2">
      <c r="B22" s="2" t="s">
        <v>16</v>
      </c>
      <c r="C22" s="1">
        <v>7.5</v>
      </c>
      <c r="D22" s="1">
        <v>7.5</v>
      </c>
      <c r="G22" s="2" t="s">
        <v>142</v>
      </c>
      <c r="H22" s="1">
        <v>7.5</v>
      </c>
      <c r="I22" s="1">
        <v>7.3</v>
      </c>
    </row>
    <row r="23" spans="2:9" x14ac:dyDescent="0.2">
      <c r="B23" s="2" t="s">
        <v>25</v>
      </c>
      <c r="C23" s="1">
        <v>7.7</v>
      </c>
      <c r="D23" s="1">
        <v>7.5</v>
      </c>
      <c r="G23" s="2" t="s">
        <v>96</v>
      </c>
      <c r="H23" s="1">
        <v>7.3</v>
      </c>
      <c r="I23" s="1">
        <v>7.3</v>
      </c>
    </row>
    <row r="24" spans="2:9" x14ac:dyDescent="0.2">
      <c r="B24" s="2" t="s">
        <v>5</v>
      </c>
      <c r="C24" s="1">
        <v>8</v>
      </c>
      <c r="D24" s="1">
        <v>8</v>
      </c>
      <c r="G24" s="2" t="s">
        <v>133</v>
      </c>
      <c r="H24" s="1">
        <v>7.4</v>
      </c>
      <c r="I24" s="1">
        <v>7.4</v>
      </c>
    </row>
    <row r="25" spans="2:9" x14ac:dyDescent="0.2">
      <c r="B25" s="2" t="s">
        <v>22</v>
      </c>
      <c r="C25" s="1">
        <v>7.3</v>
      </c>
      <c r="D25" s="1">
        <v>7.3</v>
      </c>
      <c r="G25" s="2" t="s">
        <v>89</v>
      </c>
      <c r="H25" s="1">
        <v>7.3</v>
      </c>
      <c r="I25" s="1">
        <v>7.4</v>
      </c>
    </row>
    <row r="26" spans="2:9" x14ac:dyDescent="0.2">
      <c r="B26" s="2" t="s">
        <v>17</v>
      </c>
      <c r="C26" s="1">
        <v>7</v>
      </c>
      <c r="D26" s="1">
        <v>7.1</v>
      </c>
      <c r="G26" s="2" t="s">
        <v>77</v>
      </c>
      <c r="H26" s="1">
        <v>7.5</v>
      </c>
      <c r="I26" s="1">
        <v>7.5</v>
      </c>
    </row>
    <row r="27" spans="2:9" x14ac:dyDescent="0.2">
      <c r="B27" s="2" t="s">
        <v>18</v>
      </c>
      <c r="C27" s="1">
        <v>7</v>
      </c>
      <c r="D27" s="1">
        <v>7.2</v>
      </c>
      <c r="G27" s="2" t="s">
        <v>93</v>
      </c>
      <c r="H27" s="1">
        <v>7.5</v>
      </c>
      <c r="I27" s="1">
        <v>7.5</v>
      </c>
    </row>
    <row r="28" spans="2:9" x14ac:dyDescent="0.2">
      <c r="B28" s="2" t="s">
        <v>23</v>
      </c>
      <c r="C28" s="1">
        <v>7.3</v>
      </c>
      <c r="D28" s="1">
        <v>7.5</v>
      </c>
      <c r="G28" s="2" t="s">
        <v>94</v>
      </c>
      <c r="H28" s="1">
        <v>7.7</v>
      </c>
      <c r="I28" s="1">
        <v>7.5</v>
      </c>
    </row>
    <row r="29" spans="2:9" x14ac:dyDescent="0.2">
      <c r="B29" s="2" t="s">
        <v>126</v>
      </c>
      <c r="C29" s="1">
        <v>7.2</v>
      </c>
      <c r="D29" s="1">
        <v>7.1</v>
      </c>
      <c r="G29" s="2" t="s">
        <v>99</v>
      </c>
      <c r="H29" s="1">
        <v>7.3</v>
      </c>
      <c r="I29" s="1">
        <v>7.5</v>
      </c>
    </row>
    <row r="30" spans="2:9" x14ac:dyDescent="0.2">
      <c r="B30" s="2" t="s">
        <v>20</v>
      </c>
      <c r="C30" s="1">
        <v>8.1</v>
      </c>
      <c r="D30" s="1">
        <v>8.1</v>
      </c>
      <c r="G30" s="2" t="s">
        <v>80</v>
      </c>
      <c r="H30" s="1">
        <v>8.1</v>
      </c>
      <c r="I30" s="1">
        <v>7.6</v>
      </c>
    </row>
    <row r="31" spans="2:9" x14ac:dyDescent="0.2">
      <c r="B31" s="2" t="s">
        <v>27</v>
      </c>
      <c r="C31" s="1">
        <v>7.7</v>
      </c>
      <c r="D31" s="1">
        <v>7.7</v>
      </c>
      <c r="G31" s="2" t="s">
        <v>82</v>
      </c>
      <c r="H31" s="1">
        <v>7.3</v>
      </c>
      <c r="I31" s="1">
        <v>7.6</v>
      </c>
    </row>
    <row r="32" spans="2:9" x14ac:dyDescent="0.2">
      <c r="B32" s="2" t="s">
        <v>76</v>
      </c>
      <c r="C32" s="1">
        <v>7</v>
      </c>
      <c r="D32" s="1">
        <v>7.2</v>
      </c>
      <c r="G32" s="2" t="s">
        <v>102</v>
      </c>
      <c r="H32" s="1">
        <v>7.7</v>
      </c>
      <c r="I32" s="1">
        <v>7.7</v>
      </c>
    </row>
    <row r="33" spans="2:12" x14ac:dyDescent="0.2">
      <c r="B33" s="2" t="s">
        <v>26</v>
      </c>
      <c r="C33" s="1">
        <v>8</v>
      </c>
      <c r="D33" s="1">
        <v>8.1</v>
      </c>
      <c r="G33" s="44" t="s">
        <v>146</v>
      </c>
      <c r="H33" s="1">
        <v>7.2</v>
      </c>
      <c r="I33" s="1">
        <v>7.8</v>
      </c>
    </row>
    <row r="34" spans="2:12" x14ac:dyDescent="0.2">
      <c r="B34" s="2" t="s">
        <v>50</v>
      </c>
      <c r="C34" s="1">
        <v>7.9</v>
      </c>
      <c r="D34" s="1">
        <v>7.9</v>
      </c>
      <c r="G34" s="2" t="s">
        <v>95</v>
      </c>
      <c r="H34" s="1">
        <v>8</v>
      </c>
      <c r="I34" s="1">
        <v>8</v>
      </c>
    </row>
    <row r="35" spans="2:12" x14ac:dyDescent="0.2">
      <c r="B35" s="2" t="s">
        <v>28</v>
      </c>
      <c r="C35" s="1">
        <v>7.1</v>
      </c>
      <c r="D35" s="1">
        <v>7.2</v>
      </c>
      <c r="G35" s="2" t="s">
        <v>101</v>
      </c>
      <c r="H35" s="1">
        <v>8.1</v>
      </c>
      <c r="I35" s="1">
        <v>8.1</v>
      </c>
    </row>
    <row r="37" spans="2:12" x14ac:dyDescent="0.2">
      <c r="G37" s="2" t="s">
        <v>105</v>
      </c>
      <c r="H37" s="1">
        <v>8</v>
      </c>
      <c r="I37" s="1">
        <v>8.1</v>
      </c>
    </row>
    <row r="38" spans="2:12" x14ac:dyDescent="0.2">
      <c r="G38" s="2" t="s">
        <v>106</v>
      </c>
      <c r="H38" s="1">
        <v>7.9</v>
      </c>
      <c r="I38" s="1">
        <v>7.9</v>
      </c>
    </row>
    <row r="46" spans="2:12" ht="13.5" x14ac:dyDescent="0.2">
      <c r="L46" s="1" t="s">
        <v>151</v>
      </c>
    </row>
    <row r="47" spans="2:12" x14ac:dyDescent="0.2">
      <c r="L47" s="5" t="s">
        <v>68</v>
      </c>
    </row>
  </sheetData>
  <sortState ref="B38:D65">
    <sortCondition ref="D38:D65"/>
  </sortState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"/>
  <sheetViews>
    <sheetView zoomScaleNormal="100" workbookViewId="0">
      <selection activeCell="H25" sqref="H25"/>
    </sheetView>
  </sheetViews>
  <sheetFormatPr defaultRowHeight="12" x14ac:dyDescent="0.2"/>
  <cols>
    <col min="1" max="16384" width="9.140625" style="1"/>
  </cols>
  <sheetData>
    <row r="2" spans="2:8" x14ac:dyDescent="0.2">
      <c r="B2" s="14" t="s">
        <v>62</v>
      </c>
      <c r="C2" s="14"/>
      <c r="D2" s="14"/>
      <c r="E2" s="14"/>
      <c r="F2" s="14" t="s">
        <v>120</v>
      </c>
      <c r="G2" s="14"/>
      <c r="H2" s="17"/>
    </row>
    <row r="4" spans="2:8" x14ac:dyDescent="0.2">
      <c r="C4" s="2">
        <v>2013</v>
      </c>
      <c r="D4" s="2">
        <v>2018</v>
      </c>
      <c r="G4" s="2">
        <v>2013</v>
      </c>
      <c r="H4" s="2">
        <v>2018</v>
      </c>
    </row>
    <row r="5" spans="2:8" x14ac:dyDescent="0.2">
      <c r="B5" s="2" t="s">
        <v>6</v>
      </c>
      <c r="C5" s="1">
        <v>7.7</v>
      </c>
      <c r="D5" s="1">
        <v>7.9</v>
      </c>
      <c r="F5" s="2" t="s">
        <v>28</v>
      </c>
      <c r="G5" s="2">
        <v>7.8</v>
      </c>
      <c r="H5" s="2">
        <v>8</v>
      </c>
    </row>
    <row r="6" spans="2:8" x14ac:dyDescent="0.2">
      <c r="B6" s="2" t="s">
        <v>7</v>
      </c>
      <c r="C6" s="1">
        <v>5.7</v>
      </c>
      <c r="D6" s="1">
        <v>6.6</v>
      </c>
    </row>
    <row r="7" spans="2:8" x14ac:dyDescent="0.2">
      <c r="B7" s="2" t="s">
        <v>19</v>
      </c>
      <c r="C7" s="1">
        <v>8.1</v>
      </c>
      <c r="D7" s="1">
        <v>8.3000000000000007</v>
      </c>
      <c r="F7" s="2" t="s">
        <v>78</v>
      </c>
      <c r="G7" s="1">
        <v>5.7</v>
      </c>
      <c r="H7" s="1">
        <v>6.6</v>
      </c>
    </row>
    <row r="8" spans="2:8" x14ac:dyDescent="0.2">
      <c r="B8" s="2" t="s">
        <v>24</v>
      </c>
      <c r="C8" s="1">
        <v>8.5</v>
      </c>
      <c r="D8" s="1">
        <v>8.1999999999999993</v>
      </c>
      <c r="F8" s="2" t="s">
        <v>83</v>
      </c>
      <c r="G8" s="1">
        <v>7</v>
      </c>
      <c r="H8" s="1">
        <v>7.1</v>
      </c>
    </row>
    <row r="9" spans="2:8" x14ac:dyDescent="0.2">
      <c r="B9" s="2" t="s">
        <v>44</v>
      </c>
      <c r="C9" s="1">
        <v>7.8</v>
      </c>
      <c r="D9" s="1">
        <v>7.9</v>
      </c>
      <c r="F9" s="2" t="s">
        <v>86</v>
      </c>
      <c r="G9" s="1">
        <v>7.3</v>
      </c>
      <c r="H9" s="1">
        <v>7.5</v>
      </c>
    </row>
    <row r="10" spans="2:8" x14ac:dyDescent="0.2">
      <c r="B10" s="2" t="s">
        <v>9</v>
      </c>
      <c r="C10" s="1">
        <v>7.6</v>
      </c>
      <c r="D10" s="1">
        <v>7.9</v>
      </c>
      <c r="F10" s="2" t="s">
        <v>87</v>
      </c>
      <c r="G10" s="1">
        <v>7.3</v>
      </c>
      <c r="H10" s="1">
        <v>7.6</v>
      </c>
    </row>
    <row r="11" spans="2:8" x14ac:dyDescent="0.2">
      <c r="B11" s="2" t="s">
        <v>111</v>
      </c>
      <c r="C11" s="1">
        <v>8.6</v>
      </c>
      <c r="D11" s="1">
        <v>8.6</v>
      </c>
      <c r="F11" s="2" t="s">
        <v>92</v>
      </c>
      <c r="G11" s="1">
        <v>7.6</v>
      </c>
      <c r="H11" s="1">
        <v>7.6</v>
      </c>
    </row>
    <row r="12" spans="2:8" x14ac:dyDescent="0.2">
      <c r="B12" s="2" t="s">
        <v>10</v>
      </c>
      <c r="C12" s="1">
        <v>7</v>
      </c>
      <c r="D12" s="1">
        <v>7.1</v>
      </c>
      <c r="F12" s="2" t="s">
        <v>98</v>
      </c>
      <c r="G12" s="1">
        <v>7.6</v>
      </c>
      <c r="H12" s="1">
        <v>7.6</v>
      </c>
    </row>
    <row r="13" spans="2:8" x14ac:dyDescent="0.2">
      <c r="B13" s="2" t="s">
        <v>11</v>
      </c>
      <c r="C13" s="1">
        <v>7.8</v>
      </c>
      <c r="D13" s="1">
        <v>8.1999999999999993</v>
      </c>
      <c r="F13" s="2" t="s">
        <v>89</v>
      </c>
      <c r="G13" s="1">
        <v>8.1</v>
      </c>
      <c r="H13" s="1">
        <v>7.8</v>
      </c>
    </row>
    <row r="14" spans="2:8" x14ac:dyDescent="0.2">
      <c r="B14" s="2" t="s">
        <v>41</v>
      </c>
      <c r="C14" s="1">
        <v>7.8</v>
      </c>
      <c r="D14" s="1">
        <v>7.9</v>
      </c>
      <c r="F14" s="2" t="s">
        <v>90</v>
      </c>
      <c r="G14" s="1">
        <v>8</v>
      </c>
      <c r="H14" s="1">
        <v>7.8</v>
      </c>
    </row>
    <row r="15" spans="2:8" x14ac:dyDescent="0.2">
      <c r="B15" s="2" t="s">
        <v>12</v>
      </c>
      <c r="C15" s="1">
        <v>7.3</v>
      </c>
      <c r="D15" s="1">
        <v>7.5</v>
      </c>
      <c r="F15" s="2" t="s">
        <v>91</v>
      </c>
      <c r="G15" s="1">
        <v>8</v>
      </c>
      <c r="H15" s="1">
        <v>7.8</v>
      </c>
    </row>
    <row r="16" spans="2:8" x14ac:dyDescent="0.2">
      <c r="B16" s="2" t="s">
        <v>21</v>
      </c>
      <c r="C16" s="1">
        <v>7.3</v>
      </c>
      <c r="D16" s="1">
        <v>7.6</v>
      </c>
      <c r="F16" s="2" t="s">
        <v>77</v>
      </c>
      <c r="G16" s="1">
        <v>7.7</v>
      </c>
      <c r="H16" s="1">
        <v>7.9</v>
      </c>
    </row>
    <row r="17" spans="2:8" x14ac:dyDescent="0.2">
      <c r="B17" s="2" t="s">
        <v>8</v>
      </c>
      <c r="C17" s="1">
        <v>8</v>
      </c>
      <c r="D17" s="1">
        <v>8.5</v>
      </c>
      <c r="F17" s="2" t="s">
        <v>81</v>
      </c>
      <c r="G17" s="1">
        <v>7.8</v>
      </c>
      <c r="H17" s="1">
        <v>7.9</v>
      </c>
    </row>
    <row r="18" spans="2:8" x14ac:dyDescent="0.2">
      <c r="B18" s="2" t="s">
        <v>15</v>
      </c>
      <c r="C18" s="1">
        <v>8.1</v>
      </c>
      <c r="D18" s="1">
        <v>7.8</v>
      </c>
      <c r="F18" s="2" t="s">
        <v>82</v>
      </c>
      <c r="G18" s="1">
        <v>7.6</v>
      </c>
      <c r="H18" s="1">
        <v>7.9</v>
      </c>
    </row>
    <row r="19" spans="2:8" x14ac:dyDescent="0.2">
      <c r="B19" s="2" t="s">
        <v>14</v>
      </c>
      <c r="C19" s="1">
        <v>8</v>
      </c>
      <c r="D19" s="1">
        <v>7.8</v>
      </c>
      <c r="F19" s="2" t="s">
        <v>85</v>
      </c>
      <c r="G19" s="1">
        <v>7.8</v>
      </c>
      <c r="H19" s="1">
        <v>7.9</v>
      </c>
    </row>
    <row r="20" spans="2:8" x14ac:dyDescent="0.2">
      <c r="B20" s="2" t="s">
        <v>40</v>
      </c>
      <c r="C20" s="1">
        <v>8</v>
      </c>
      <c r="D20" s="1">
        <v>7.8</v>
      </c>
      <c r="F20" s="2" t="s">
        <v>94</v>
      </c>
      <c r="G20" s="1">
        <v>8.1999999999999993</v>
      </c>
      <c r="H20" s="1">
        <v>7.9</v>
      </c>
    </row>
    <row r="21" spans="2:8" x14ac:dyDescent="0.2">
      <c r="B21" s="2" t="s">
        <v>13</v>
      </c>
      <c r="C21" s="1">
        <v>7.6</v>
      </c>
      <c r="D21" s="1">
        <v>7.6</v>
      </c>
      <c r="F21" s="2" t="s">
        <v>96</v>
      </c>
      <c r="G21" s="1">
        <v>8</v>
      </c>
      <c r="H21" s="1">
        <v>8.1</v>
      </c>
    </row>
    <row r="22" spans="2:8" x14ac:dyDescent="0.2">
      <c r="B22" s="2" t="s">
        <v>16</v>
      </c>
      <c r="C22" s="1">
        <v>8.4</v>
      </c>
      <c r="D22" s="1">
        <v>8.6</v>
      </c>
      <c r="F22" s="2" t="s">
        <v>80</v>
      </c>
      <c r="G22" s="1">
        <v>8.5</v>
      </c>
      <c r="H22" s="1">
        <v>8.1999999999999993</v>
      </c>
    </row>
    <row r="23" spans="2:8" x14ac:dyDescent="0.2">
      <c r="B23" s="2" t="s">
        <v>25</v>
      </c>
      <c r="C23" s="1">
        <v>8.1999999999999993</v>
      </c>
      <c r="D23" s="1">
        <v>7.9</v>
      </c>
      <c r="F23" s="2" t="s">
        <v>138</v>
      </c>
      <c r="G23" s="1">
        <v>7.8</v>
      </c>
      <c r="H23" s="1">
        <v>8.1999999999999993</v>
      </c>
    </row>
    <row r="24" spans="2:8" x14ac:dyDescent="0.2">
      <c r="B24" s="2" t="s">
        <v>5</v>
      </c>
      <c r="C24" s="1">
        <v>8.5</v>
      </c>
      <c r="D24" s="1">
        <v>8.6</v>
      </c>
      <c r="F24" s="2" t="s">
        <v>97</v>
      </c>
      <c r="G24" s="1">
        <v>7.9</v>
      </c>
      <c r="H24" s="1">
        <v>8.1999999999999993</v>
      </c>
    </row>
    <row r="25" spans="2:8" x14ac:dyDescent="0.2">
      <c r="B25" s="2" t="s">
        <v>22</v>
      </c>
      <c r="C25" s="1">
        <v>8</v>
      </c>
      <c r="D25" s="1">
        <v>8.1</v>
      </c>
      <c r="F25" s="2" t="s">
        <v>136</v>
      </c>
      <c r="G25" s="1">
        <v>7.9</v>
      </c>
      <c r="H25" s="1">
        <v>8.1999999999999993</v>
      </c>
    </row>
    <row r="26" spans="2:8" x14ac:dyDescent="0.2">
      <c r="B26" s="2" t="s">
        <v>17</v>
      </c>
      <c r="C26" s="1">
        <v>7.9</v>
      </c>
      <c r="D26" s="1">
        <v>8.1999999999999993</v>
      </c>
      <c r="F26" s="2" t="s">
        <v>133</v>
      </c>
      <c r="G26" s="1">
        <v>8.1</v>
      </c>
      <c r="H26" s="1">
        <v>8.3000000000000007</v>
      </c>
    </row>
    <row r="27" spans="2:8" x14ac:dyDescent="0.2">
      <c r="B27" s="2" t="s">
        <v>18</v>
      </c>
      <c r="C27" s="1">
        <v>7.6</v>
      </c>
      <c r="D27" s="1">
        <v>7.6</v>
      </c>
      <c r="F27" s="2" t="s">
        <v>101</v>
      </c>
      <c r="G27" s="1">
        <v>8.3000000000000007</v>
      </c>
      <c r="H27" s="1">
        <v>8.4</v>
      </c>
    </row>
    <row r="28" spans="2:8" x14ac:dyDescent="0.2">
      <c r="B28" s="2" t="s">
        <v>23</v>
      </c>
      <c r="C28" s="1">
        <v>8.3000000000000007</v>
      </c>
      <c r="D28" s="1">
        <v>8.6</v>
      </c>
      <c r="F28" s="2" t="s">
        <v>88</v>
      </c>
      <c r="G28" s="1">
        <v>8</v>
      </c>
      <c r="H28" s="1">
        <v>8.5</v>
      </c>
    </row>
    <row r="29" spans="2:8" x14ac:dyDescent="0.2">
      <c r="B29" s="2" t="s">
        <v>112</v>
      </c>
      <c r="C29" s="1">
        <v>7.9</v>
      </c>
      <c r="D29" s="1">
        <v>8.1999999999999993</v>
      </c>
      <c r="F29" s="2" t="s">
        <v>102</v>
      </c>
      <c r="G29" s="1">
        <v>8.3000000000000007</v>
      </c>
      <c r="H29" s="1">
        <v>8.5</v>
      </c>
    </row>
    <row r="30" spans="2:8" x14ac:dyDescent="0.2">
      <c r="B30" s="2" t="s">
        <v>20</v>
      </c>
      <c r="C30" s="1">
        <v>8.3000000000000007</v>
      </c>
      <c r="D30" s="1">
        <v>8.4</v>
      </c>
      <c r="F30" s="44" t="s">
        <v>148</v>
      </c>
      <c r="G30" s="1">
        <v>8.3000000000000007</v>
      </c>
      <c r="H30" s="1">
        <v>8.5</v>
      </c>
    </row>
    <row r="31" spans="2:8" x14ac:dyDescent="0.2">
      <c r="B31" s="2" t="s">
        <v>27</v>
      </c>
      <c r="C31" s="1">
        <v>8.3000000000000007</v>
      </c>
      <c r="D31" s="1">
        <v>8.5</v>
      </c>
      <c r="F31" s="44" t="s">
        <v>146</v>
      </c>
      <c r="G31" s="1">
        <v>8.6</v>
      </c>
      <c r="H31" s="1">
        <v>8.6</v>
      </c>
    </row>
    <row r="32" spans="2:8" x14ac:dyDescent="0.2">
      <c r="B32" s="2" t="s">
        <v>76</v>
      </c>
      <c r="C32" s="1">
        <v>8.3000000000000007</v>
      </c>
      <c r="D32" s="1">
        <v>8.5</v>
      </c>
      <c r="F32" s="2" t="s">
        <v>93</v>
      </c>
      <c r="G32" s="1">
        <v>8.4</v>
      </c>
      <c r="H32" s="1">
        <v>8.6</v>
      </c>
    </row>
    <row r="33" spans="2:8" x14ac:dyDescent="0.2">
      <c r="B33" s="2" t="s">
        <v>26</v>
      </c>
      <c r="C33" s="1">
        <v>8.4</v>
      </c>
      <c r="D33" s="1">
        <v>8.5</v>
      </c>
      <c r="F33" s="2" t="s">
        <v>95</v>
      </c>
      <c r="G33" s="1">
        <v>8.5</v>
      </c>
      <c r="H33" s="1">
        <v>8.6</v>
      </c>
    </row>
    <row r="34" spans="2:8" x14ac:dyDescent="0.2">
      <c r="B34" s="2" t="s">
        <v>50</v>
      </c>
      <c r="C34" s="1">
        <v>8.6999999999999993</v>
      </c>
      <c r="D34" s="1">
        <v>8.6</v>
      </c>
      <c r="F34" s="2" t="s">
        <v>99</v>
      </c>
      <c r="G34" s="1">
        <v>8.3000000000000007</v>
      </c>
      <c r="H34" s="1">
        <v>8.6</v>
      </c>
    </row>
    <row r="35" spans="2:8" x14ac:dyDescent="0.2">
      <c r="B35" s="2"/>
    </row>
    <row r="36" spans="2:8" x14ac:dyDescent="0.2">
      <c r="B36" s="2" t="s">
        <v>28</v>
      </c>
      <c r="C36" s="1">
        <v>7.8</v>
      </c>
      <c r="D36" s="1">
        <v>8</v>
      </c>
      <c r="F36" s="2" t="s">
        <v>105</v>
      </c>
      <c r="G36" s="1">
        <v>8.4</v>
      </c>
      <c r="H36" s="1">
        <v>8.5</v>
      </c>
    </row>
    <row r="37" spans="2:8" x14ac:dyDescent="0.2">
      <c r="F37" s="2" t="s">
        <v>106</v>
      </c>
      <c r="G37" s="1">
        <v>8.6999999999999993</v>
      </c>
      <c r="H37" s="1">
        <v>8.6</v>
      </c>
    </row>
    <row r="49" spans="10:10" ht="13.5" x14ac:dyDescent="0.2">
      <c r="J49" s="1" t="s">
        <v>151</v>
      </c>
    </row>
    <row r="50" spans="10:10" x14ac:dyDescent="0.2">
      <c r="J50" s="5" t="s">
        <v>68</v>
      </c>
    </row>
  </sheetData>
  <sortState ref="B41:D68">
    <sortCondition ref="D41:D68"/>
  </sortState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Normal="100" workbookViewId="0">
      <selection activeCell="H43" sqref="H43"/>
    </sheetView>
  </sheetViews>
  <sheetFormatPr defaultRowHeight="12" x14ac:dyDescent="0.2"/>
  <cols>
    <col min="1" max="2" width="9.140625" style="1"/>
    <col min="3" max="3" width="14.85546875" style="1" customWidth="1"/>
    <col min="4" max="4" width="14.7109375" style="1" customWidth="1"/>
    <col min="5" max="5" width="14.28515625" style="1" customWidth="1"/>
    <col min="6" max="6" width="18" style="1" customWidth="1"/>
    <col min="7" max="8" width="13.7109375" style="1" customWidth="1"/>
    <col min="9" max="14" width="9.140625" style="1"/>
    <col min="15" max="15" width="12.42578125" style="1" customWidth="1"/>
    <col min="16" max="16384" width="9.140625" style="1"/>
  </cols>
  <sheetData>
    <row r="1" spans="1:14" x14ac:dyDescent="0.2">
      <c r="A1" s="2" t="s">
        <v>121</v>
      </c>
    </row>
    <row r="3" spans="1:14" x14ac:dyDescent="0.2">
      <c r="C3" s="8" t="s">
        <v>56</v>
      </c>
      <c r="D3" s="8" t="s">
        <v>57</v>
      </c>
      <c r="E3" s="8" t="s">
        <v>58</v>
      </c>
      <c r="F3" s="8" t="s">
        <v>59</v>
      </c>
      <c r="G3" s="8" t="s">
        <v>60</v>
      </c>
      <c r="H3" s="15" t="s">
        <v>72</v>
      </c>
      <c r="I3" s="16"/>
      <c r="J3" s="17"/>
      <c r="K3" s="14" t="s">
        <v>118</v>
      </c>
      <c r="L3" s="14"/>
      <c r="M3" s="14"/>
      <c r="N3" s="14"/>
    </row>
    <row r="4" spans="1:14" x14ac:dyDescent="0.2">
      <c r="B4" s="11" t="s">
        <v>28</v>
      </c>
      <c r="C4" s="12">
        <f>13.8/100</f>
        <v>0.13800000000000001</v>
      </c>
      <c r="D4" s="12">
        <f>49.2/100</f>
        <v>0.49200000000000005</v>
      </c>
      <c r="E4" s="12">
        <f>25.6/100</f>
        <v>0.25600000000000001</v>
      </c>
      <c r="F4" s="12">
        <f>8/100</f>
        <v>0.08</v>
      </c>
      <c r="G4" s="12">
        <f>1.9/100</f>
        <v>1.9E-2</v>
      </c>
      <c r="H4" s="12"/>
      <c r="I4" s="11"/>
      <c r="K4" s="12">
        <f>F4+G4</f>
        <v>9.9000000000000005E-2</v>
      </c>
    </row>
    <row r="5" spans="1:14" x14ac:dyDescent="0.2">
      <c r="B5" s="12"/>
      <c r="C5" s="11"/>
      <c r="D5" s="11"/>
      <c r="E5" s="11"/>
      <c r="F5" s="11"/>
      <c r="G5" s="11"/>
      <c r="H5" s="11"/>
      <c r="I5" s="11"/>
      <c r="K5" s="12">
        <f t="shared" ref="K5:K36" si="0">F5+G5</f>
        <v>0</v>
      </c>
    </row>
    <row r="6" spans="1:14" x14ac:dyDescent="0.2">
      <c r="B6" s="11" t="s">
        <v>89</v>
      </c>
      <c r="C6" s="12">
        <f>4.1/100</f>
        <v>4.0999999999999995E-2</v>
      </c>
      <c r="D6" s="12">
        <f>26.6/100</f>
        <v>0.26600000000000001</v>
      </c>
      <c r="E6" s="12">
        <f>38.9/100</f>
        <v>0.38900000000000001</v>
      </c>
      <c r="F6" s="12">
        <f>21.2/100</f>
        <v>0.21199999999999999</v>
      </c>
      <c r="G6" s="12">
        <f>6.8/100</f>
        <v>6.8000000000000005E-2</v>
      </c>
      <c r="H6" s="18">
        <f>C6+D6</f>
        <v>0.307</v>
      </c>
      <c r="I6" s="2"/>
      <c r="K6" s="18">
        <f t="shared" si="0"/>
        <v>0.28000000000000003</v>
      </c>
    </row>
    <row r="7" spans="1:14" x14ac:dyDescent="0.2">
      <c r="B7" s="11" t="s">
        <v>143</v>
      </c>
      <c r="C7" s="12">
        <f>4.7/100</f>
        <v>4.7E-2</v>
      </c>
      <c r="D7" s="12">
        <f>41.7/100</f>
        <v>0.41700000000000004</v>
      </c>
      <c r="E7" s="12">
        <f>31.4/100</f>
        <v>0.314</v>
      </c>
      <c r="F7" s="12">
        <f>12.2/100</f>
        <v>0.122</v>
      </c>
      <c r="G7" s="12">
        <f>3/100</f>
        <v>0.03</v>
      </c>
      <c r="H7" s="12">
        <f t="shared" ref="H7:H36" si="1">C7+D7</f>
        <v>0.46400000000000002</v>
      </c>
      <c r="K7" s="12">
        <f t="shared" si="0"/>
        <v>0.152</v>
      </c>
    </row>
    <row r="8" spans="1:14" x14ac:dyDescent="0.2">
      <c r="B8" s="11" t="s">
        <v>86</v>
      </c>
      <c r="C8" s="12">
        <f>5.3/100</f>
        <v>5.2999999999999999E-2</v>
      </c>
      <c r="D8" s="12">
        <f>36.5/100</f>
        <v>0.36499999999999999</v>
      </c>
      <c r="E8" s="12">
        <f>41/100</f>
        <v>0.41</v>
      </c>
      <c r="F8" s="12">
        <f>12.8/100</f>
        <v>0.128</v>
      </c>
      <c r="G8" s="12">
        <f>2.7/100</f>
        <v>2.7000000000000003E-2</v>
      </c>
      <c r="H8" s="18">
        <f t="shared" si="1"/>
        <v>0.41799999999999998</v>
      </c>
      <c r="K8" s="12">
        <f t="shared" si="0"/>
        <v>0.155</v>
      </c>
    </row>
    <row r="9" spans="1:14" x14ac:dyDescent="0.2">
      <c r="B9" s="11" t="s">
        <v>93</v>
      </c>
      <c r="C9" s="12">
        <f>5.7/100</f>
        <v>5.7000000000000002E-2</v>
      </c>
      <c r="D9" s="12">
        <f>56.1/100</f>
        <v>0.56100000000000005</v>
      </c>
      <c r="E9" s="12">
        <f>24.8/100</f>
        <v>0.248</v>
      </c>
      <c r="F9" s="12">
        <f>9.7/100</f>
        <v>9.6999999999999989E-2</v>
      </c>
      <c r="G9" s="12">
        <f>2.9/100</f>
        <v>2.8999999999999998E-2</v>
      </c>
      <c r="H9" s="12">
        <f t="shared" si="1"/>
        <v>0.6180000000000001</v>
      </c>
      <c r="K9" s="12">
        <f t="shared" si="0"/>
        <v>0.126</v>
      </c>
    </row>
    <row r="10" spans="1:14" x14ac:dyDescent="0.2">
      <c r="B10" s="11" t="s">
        <v>81</v>
      </c>
      <c r="C10" s="12">
        <f>6.4/100</f>
        <v>6.4000000000000001E-2</v>
      </c>
      <c r="D10" s="12">
        <f>58.1/100</f>
        <v>0.58099999999999996</v>
      </c>
      <c r="E10" s="12">
        <f>23.1/100</f>
        <v>0.23100000000000001</v>
      </c>
      <c r="F10" s="12">
        <f>8.6/100</f>
        <v>8.5999999999999993E-2</v>
      </c>
      <c r="G10" s="12">
        <f>1.6/100</f>
        <v>1.6E-2</v>
      </c>
      <c r="H10" s="12">
        <f t="shared" si="1"/>
        <v>0.64500000000000002</v>
      </c>
      <c r="K10" s="12">
        <f t="shared" si="0"/>
        <v>0.10199999999999999</v>
      </c>
    </row>
    <row r="11" spans="1:14" x14ac:dyDescent="0.2">
      <c r="B11" s="11" t="s">
        <v>133</v>
      </c>
      <c r="C11" s="12">
        <f>6.8/100</f>
        <v>6.8000000000000005E-2</v>
      </c>
      <c r="D11" s="12">
        <f>44.8/100</f>
        <v>0.44799999999999995</v>
      </c>
      <c r="E11" s="12">
        <f>34.6/100</f>
        <v>0.34600000000000003</v>
      </c>
      <c r="F11" s="12">
        <f>8.7/100</f>
        <v>8.6999999999999994E-2</v>
      </c>
      <c r="G11" s="12">
        <f>1.5/100</f>
        <v>1.4999999999999999E-2</v>
      </c>
      <c r="H11" s="12">
        <f t="shared" si="1"/>
        <v>0.51600000000000001</v>
      </c>
      <c r="K11" s="12">
        <f t="shared" si="0"/>
        <v>0.10199999999999999</v>
      </c>
    </row>
    <row r="12" spans="1:14" x14ac:dyDescent="0.2">
      <c r="B12" s="11" t="s">
        <v>78</v>
      </c>
      <c r="C12" s="12">
        <f>7/100</f>
        <v>7.0000000000000007E-2</v>
      </c>
      <c r="D12" s="12">
        <f>27.9/100</f>
        <v>0.27899999999999997</v>
      </c>
      <c r="E12" s="12">
        <f>36.4/100</f>
        <v>0.36399999999999999</v>
      </c>
      <c r="F12" s="12">
        <f>19.9/100</f>
        <v>0.19899999999999998</v>
      </c>
      <c r="G12" s="12">
        <f>4.5/100</f>
        <v>4.4999999999999998E-2</v>
      </c>
      <c r="H12" s="18">
        <f t="shared" si="1"/>
        <v>0.34899999999999998</v>
      </c>
      <c r="K12" s="18">
        <f t="shared" si="0"/>
        <v>0.24399999999999999</v>
      </c>
    </row>
    <row r="13" spans="1:14" x14ac:dyDescent="0.2">
      <c r="B13" s="11" t="s">
        <v>82</v>
      </c>
      <c r="C13" s="12">
        <f>7.1/100</f>
        <v>7.0999999999999994E-2</v>
      </c>
      <c r="D13" s="12">
        <f>44.3/100</f>
        <v>0.44299999999999995</v>
      </c>
      <c r="E13" s="12">
        <f>34.4/100</f>
        <v>0.34399999999999997</v>
      </c>
      <c r="F13" s="12">
        <f>10.4/100</f>
        <v>0.10400000000000001</v>
      </c>
      <c r="G13" s="12">
        <f>3.4/100</f>
        <v>3.4000000000000002E-2</v>
      </c>
      <c r="H13" s="12">
        <f t="shared" si="1"/>
        <v>0.5139999999999999</v>
      </c>
      <c r="K13" s="12">
        <f t="shared" si="0"/>
        <v>0.13800000000000001</v>
      </c>
    </row>
    <row r="14" spans="1:14" x14ac:dyDescent="0.2">
      <c r="B14" s="11" t="s">
        <v>90</v>
      </c>
      <c r="C14" s="12">
        <f>8.1/100</f>
        <v>8.1000000000000003E-2</v>
      </c>
      <c r="D14" s="12">
        <f>37.3/100</f>
        <v>0.373</v>
      </c>
      <c r="E14" s="12">
        <f>33.9/100</f>
        <v>0.33899999999999997</v>
      </c>
      <c r="F14" s="12">
        <f>13/100</f>
        <v>0.13</v>
      </c>
      <c r="G14" s="12">
        <f>2.1/100</f>
        <v>2.1000000000000001E-2</v>
      </c>
      <c r="H14" s="12">
        <f t="shared" si="1"/>
        <v>0.45400000000000001</v>
      </c>
      <c r="K14" s="12">
        <f t="shared" si="0"/>
        <v>0.151</v>
      </c>
    </row>
    <row r="15" spans="1:14" x14ac:dyDescent="0.2">
      <c r="B15" s="11" t="s">
        <v>88</v>
      </c>
      <c r="C15" s="12">
        <f>8.8/100</f>
        <v>8.8000000000000009E-2</v>
      </c>
      <c r="D15" s="12">
        <f>45.9/100</f>
        <v>0.45899999999999996</v>
      </c>
      <c r="E15" s="12">
        <f>32.1/100</f>
        <v>0.32100000000000001</v>
      </c>
      <c r="F15" s="12">
        <f>11.3/100</f>
        <v>0.113</v>
      </c>
      <c r="G15" s="12">
        <f>1.8/100</f>
        <v>1.8000000000000002E-2</v>
      </c>
      <c r="H15" s="12">
        <f t="shared" si="1"/>
        <v>0.54699999999999993</v>
      </c>
      <c r="K15" s="12">
        <f t="shared" si="0"/>
        <v>0.13100000000000001</v>
      </c>
    </row>
    <row r="16" spans="1:14" x14ac:dyDescent="0.2">
      <c r="B16" s="2" t="s">
        <v>136</v>
      </c>
      <c r="C16" s="18">
        <f>9.6/100</f>
        <v>9.6000000000000002E-2</v>
      </c>
      <c r="D16" s="12">
        <v>0.48199999999999998</v>
      </c>
      <c r="E16" s="12">
        <f>27.5/100</f>
        <v>0.27500000000000002</v>
      </c>
      <c r="F16" s="12">
        <f>6.3/100</f>
        <v>6.3E-2</v>
      </c>
      <c r="G16" s="12">
        <f>1.1/100</f>
        <v>1.1000000000000001E-2</v>
      </c>
      <c r="H16" s="12">
        <f t="shared" si="1"/>
        <v>0.57799999999999996</v>
      </c>
      <c r="K16" s="12">
        <f t="shared" si="0"/>
        <v>7.3999999999999996E-2</v>
      </c>
    </row>
    <row r="17" spans="2:11" x14ac:dyDescent="0.2">
      <c r="B17" s="11" t="s">
        <v>92</v>
      </c>
      <c r="C17" s="12">
        <f>9.7/100</f>
        <v>9.6999999999999989E-2</v>
      </c>
      <c r="D17" s="12">
        <f>48.1/100</f>
        <v>0.48100000000000004</v>
      </c>
      <c r="E17" s="12">
        <f>28/100</f>
        <v>0.28000000000000003</v>
      </c>
      <c r="F17" s="12">
        <f>12/100</f>
        <v>0.12</v>
      </c>
      <c r="G17" s="12">
        <f>1.8/100</f>
        <v>1.8000000000000002E-2</v>
      </c>
      <c r="H17" s="12">
        <f t="shared" si="1"/>
        <v>0.57800000000000007</v>
      </c>
      <c r="K17" s="12">
        <f t="shared" si="0"/>
        <v>0.13800000000000001</v>
      </c>
    </row>
    <row r="18" spans="2:11" x14ac:dyDescent="0.2">
      <c r="B18" s="11" t="s">
        <v>83</v>
      </c>
      <c r="C18" s="12">
        <f>9.9/100</f>
        <v>9.9000000000000005E-2</v>
      </c>
      <c r="D18" s="12">
        <f>36.5/100</f>
        <v>0.36499999999999999</v>
      </c>
      <c r="E18" s="12">
        <f>30.7/100</f>
        <v>0.307</v>
      </c>
      <c r="F18" s="12">
        <f>15.7/100</f>
        <v>0.157</v>
      </c>
      <c r="G18" s="12">
        <f>5.1/100</f>
        <v>5.0999999999999997E-2</v>
      </c>
      <c r="H18" s="12">
        <f t="shared" si="1"/>
        <v>0.46399999999999997</v>
      </c>
      <c r="K18" s="18">
        <f t="shared" si="0"/>
        <v>0.20799999999999999</v>
      </c>
    </row>
    <row r="19" spans="2:11" x14ac:dyDescent="0.2">
      <c r="B19" s="11" t="s">
        <v>99</v>
      </c>
      <c r="C19" s="12">
        <f>10.1/100</f>
        <v>0.10099999999999999</v>
      </c>
      <c r="D19" s="12">
        <f>48.8/100</f>
        <v>0.48799999999999999</v>
      </c>
      <c r="E19" s="12">
        <f>31.6/100</f>
        <v>0.316</v>
      </c>
      <c r="F19" s="12">
        <f>7.1/100</f>
        <v>7.0999999999999994E-2</v>
      </c>
      <c r="G19" s="12">
        <f>1.9/100</f>
        <v>1.9E-2</v>
      </c>
      <c r="H19" s="12">
        <f t="shared" si="1"/>
        <v>0.58899999999999997</v>
      </c>
      <c r="K19" s="12">
        <f t="shared" si="0"/>
        <v>0.09</v>
      </c>
    </row>
    <row r="20" spans="2:11" x14ac:dyDescent="0.2">
      <c r="B20" s="11" t="s">
        <v>101</v>
      </c>
      <c r="C20" s="12">
        <f>12.3/100</f>
        <v>0.12300000000000001</v>
      </c>
      <c r="D20" s="12">
        <f>63.6/100</f>
        <v>0.63600000000000001</v>
      </c>
      <c r="E20" s="12">
        <f>18/100</f>
        <v>0.18</v>
      </c>
      <c r="F20" s="12">
        <f>4.5/100</f>
        <v>4.4999999999999998E-2</v>
      </c>
      <c r="G20" s="12">
        <f>0.9/100</f>
        <v>9.0000000000000011E-3</v>
      </c>
      <c r="H20" s="41">
        <f t="shared" si="1"/>
        <v>0.75900000000000001</v>
      </c>
      <c r="K20" s="12">
        <f t="shared" si="0"/>
        <v>5.3999999999999999E-2</v>
      </c>
    </row>
    <row r="21" spans="2:11" x14ac:dyDescent="0.2">
      <c r="B21" s="44" t="s">
        <v>148</v>
      </c>
      <c r="C21" s="18">
        <v>0.127</v>
      </c>
      <c r="D21" s="12">
        <f>57.5/100</f>
        <v>0.57499999999999996</v>
      </c>
      <c r="E21" s="12">
        <f>22.3/100</f>
        <v>0.223</v>
      </c>
      <c r="F21" s="12">
        <f>5.9/100</f>
        <v>5.9000000000000004E-2</v>
      </c>
      <c r="G21" s="12">
        <f>1.5/100</f>
        <v>1.4999999999999999E-2</v>
      </c>
      <c r="H21" s="41">
        <f t="shared" si="1"/>
        <v>0.70199999999999996</v>
      </c>
      <c r="K21" s="12">
        <f t="shared" si="0"/>
        <v>7.400000000000001E-2</v>
      </c>
    </row>
    <row r="22" spans="2:11" x14ac:dyDescent="0.2">
      <c r="B22" s="11" t="s">
        <v>102</v>
      </c>
      <c r="C22" s="12">
        <f>12.8/100</f>
        <v>0.128</v>
      </c>
      <c r="D22" s="12">
        <f>51.8/100</f>
        <v>0.51800000000000002</v>
      </c>
      <c r="E22" s="12">
        <f>24.3/100</f>
        <v>0.24299999999999999</v>
      </c>
      <c r="F22" s="12">
        <f>7.4/100</f>
        <v>7.400000000000001E-2</v>
      </c>
      <c r="G22" s="12">
        <f>2.6/100</f>
        <v>2.6000000000000002E-2</v>
      </c>
      <c r="H22" s="12">
        <f t="shared" si="1"/>
        <v>0.64600000000000002</v>
      </c>
      <c r="K22" s="12">
        <f t="shared" si="0"/>
        <v>0.1</v>
      </c>
    </row>
    <row r="23" spans="2:11" x14ac:dyDescent="0.2">
      <c r="B23" s="11" t="s">
        <v>80</v>
      </c>
      <c r="C23" s="12">
        <f>14/100</f>
        <v>0.14000000000000001</v>
      </c>
      <c r="D23" s="12">
        <f>55.7/100</f>
        <v>0.55700000000000005</v>
      </c>
      <c r="E23" s="12">
        <f>19.5/100</f>
        <v>0.19500000000000001</v>
      </c>
      <c r="F23" s="12">
        <f>8.3/100</f>
        <v>8.3000000000000004E-2</v>
      </c>
      <c r="G23" s="12">
        <f>2/100</f>
        <v>0.02</v>
      </c>
      <c r="H23" s="42">
        <f t="shared" si="1"/>
        <v>0.69700000000000006</v>
      </c>
      <c r="K23" s="12">
        <f t="shared" si="0"/>
        <v>0.10300000000000001</v>
      </c>
    </row>
    <row r="24" spans="2:11" x14ac:dyDescent="0.2">
      <c r="B24" s="2" t="s">
        <v>95</v>
      </c>
      <c r="C24" s="12">
        <f>14.4/100</f>
        <v>0.14400000000000002</v>
      </c>
      <c r="D24" s="12">
        <f>61.5/100</f>
        <v>0.61499999999999999</v>
      </c>
      <c r="E24" s="12">
        <f>17.4/100</f>
        <v>0.17399999999999999</v>
      </c>
      <c r="F24" s="12">
        <f>5.8/100</f>
        <v>5.7999999999999996E-2</v>
      </c>
      <c r="G24" s="12">
        <f>0.9/100</f>
        <v>9.0000000000000011E-3</v>
      </c>
      <c r="H24" s="41">
        <f t="shared" si="1"/>
        <v>0.75900000000000001</v>
      </c>
      <c r="K24" s="12">
        <f t="shared" si="0"/>
        <v>6.7000000000000004E-2</v>
      </c>
    </row>
    <row r="25" spans="2:11" x14ac:dyDescent="0.2">
      <c r="B25" s="11" t="s">
        <v>91</v>
      </c>
      <c r="C25" s="12">
        <f>14.9/100</f>
        <v>0.14899999999999999</v>
      </c>
      <c r="D25" s="12">
        <f>59/100</f>
        <v>0.59</v>
      </c>
      <c r="E25" s="12">
        <f>18.7/100</f>
        <v>0.187</v>
      </c>
      <c r="F25" s="12">
        <f>4.7/100</f>
        <v>4.7E-2</v>
      </c>
      <c r="G25" s="12">
        <f>2/100</f>
        <v>0.02</v>
      </c>
      <c r="H25" s="42">
        <f t="shared" si="1"/>
        <v>0.73899999999999999</v>
      </c>
      <c r="K25" s="12">
        <f t="shared" si="0"/>
        <v>6.7000000000000004E-2</v>
      </c>
    </row>
    <row r="26" spans="2:11" x14ac:dyDescent="0.2">
      <c r="B26" s="11" t="s">
        <v>94</v>
      </c>
      <c r="C26" s="12">
        <f>15.3/100</f>
        <v>0.153</v>
      </c>
      <c r="D26" s="12">
        <f>60.9/100</f>
        <v>0.60899999999999999</v>
      </c>
      <c r="E26" s="12">
        <f>18.2/100</f>
        <v>0.182</v>
      </c>
      <c r="F26" s="12">
        <f>3.4/100</f>
        <v>3.4000000000000002E-2</v>
      </c>
      <c r="G26" s="12">
        <f>1.4/100</f>
        <v>1.3999999999999999E-2</v>
      </c>
      <c r="H26" s="41">
        <f t="shared" si="1"/>
        <v>0.76200000000000001</v>
      </c>
      <c r="K26" s="12">
        <f t="shared" si="0"/>
        <v>4.8000000000000001E-2</v>
      </c>
    </row>
    <row r="27" spans="2:11" x14ac:dyDescent="0.2">
      <c r="B27" s="11" t="s">
        <v>97</v>
      </c>
      <c r="C27" s="12">
        <f>15.3/100</f>
        <v>0.153</v>
      </c>
      <c r="D27" s="12">
        <f>40.7/100</f>
        <v>0.40700000000000003</v>
      </c>
      <c r="E27" s="12">
        <f>26.7/100</f>
        <v>0.26700000000000002</v>
      </c>
      <c r="F27" s="12">
        <f>13.1/100</f>
        <v>0.13100000000000001</v>
      </c>
      <c r="G27" s="12">
        <f>3.9/100</f>
        <v>3.9E-2</v>
      </c>
      <c r="H27" s="12">
        <f t="shared" si="1"/>
        <v>0.56000000000000005</v>
      </c>
      <c r="K27" s="43">
        <f t="shared" si="0"/>
        <v>0.17</v>
      </c>
    </row>
    <row r="28" spans="2:11" x14ac:dyDescent="0.2">
      <c r="B28" s="11" t="s">
        <v>85</v>
      </c>
      <c r="C28" s="12">
        <f>15.5/100</f>
        <v>0.155</v>
      </c>
      <c r="D28" s="12">
        <f>52.2/100</f>
        <v>0.52200000000000002</v>
      </c>
      <c r="E28" s="12">
        <f>23.8/100</f>
        <v>0.23800000000000002</v>
      </c>
      <c r="F28" s="12">
        <f>5.7/100</f>
        <v>5.7000000000000002E-2</v>
      </c>
      <c r="G28" s="12">
        <f>2.1/100</f>
        <v>2.1000000000000001E-2</v>
      </c>
      <c r="H28" s="42">
        <f t="shared" si="1"/>
        <v>0.67700000000000005</v>
      </c>
      <c r="K28" s="12">
        <f t="shared" si="0"/>
        <v>7.8E-2</v>
      </c>
    </row>
    <row r="29" spans="2:11" x14ac:dyDescent="0.2">
      <c r="B29" s="44" t="s">
        <v>146</v>
      </c>
      <c r="C29" s="18">
        <f>16.3/100</f>
        <v>0.16300000000000001</v>
      </c>
      <c r="D29" s="12">
        <f>63/100</f>
        <v>0.63</v>
      </c>
      <c r="E29" s="12">
        <f>16/100</f>
        <v>0.16</v>
      </c>
      <c r="F29" s="12">
        <f>3.1/100</f>
        <v>3.1E-2</v>
      </c>
      <c r="G29" s="12">
        <f>1.6/100</f>
        <v>1.6E-2</v>
      </c>
      <c r="H29" s="42">
        <f t="shared" si="1"/>
        <v>0.79300000000000004</v>
      </c>
      <c r="K29" s="12">
        <f t="shared" si="0"/>
        <v>4.7E-2</v>
      </c>
    </row>
    <row r="30" spans="2:11" x14ac:dyDescent="0.2">
      <c r="B30" s="11" t="s">
        <v>87</v>
      </c>
      <c r="C30" s="12">
        <f>16.4/100</f>
        <v>0.16399999999999998</v>
      </c>
      <c r="D30" s="12">
        <f>32.7/100</f>
        <v>0.32700000000000001</v>
      </c>
      <c r="E30" s="12">
        <f>37.3/100</f>
        <v>0.373</v>
      </c>
      <c r="F30" s="12">
        <f>10/100</f>
        <v>0.1</v>
      </c>
      <c r="G30" s="12">
        <f>2.2/100</f>
        <v>2.2000000000000002E-2</v>
      </c>
      <c r="H30" s="12">
        <f t="shared" si="1"/>
        <v>0.49099999999999999</v>
      </c>
      <c r="K30" s="12">
        <f t="shared" si="0"/>
        <v>0.12200000000000001</v>
      </c>
    </row>
    <row r="31" spans="2:11" x14ac:dyDescent="0.2">
      <c r="B31" s="11" t="s">
        <v>96</v>
      </c>
      <c r="C31" s="12">
        <f>16.6/100</f>
        <v>0.16600000000000001</v>
      </c>
      <c r="D31" s="12">
        <f>51.9/100</f>
        <v>0.51900000000000002</v>
      </c>
      <c r="E31" s="12">
        <f>21.9/100</f>
        <v>0.21899999999999997</v>
      </c>
      <c r="F31" s="12">
        <f>7/100</f>
        <v>7.0000000000000007E-2</v>
      </c>
      <c r="G31" s="12">
        <f>1.1/100</f>
        <v>1.1000000000000001E-2</v>
      </c>
      <c r="H31" s="42">
        <f t="shared" si="1"/>
        <v>0.68500000000000005</v>
      </c>
      <c r="K31" s="12">
        <f t="shared" si="0"/>
        <v>8.1000000000000003E-2</v>
      </c>
    </row>
    <row r="32" spans="2:11" x14ac:dyDescent="0.2">
      <c r="B32" s="11" t="s">
        <v>77</v>
      </c>
      <c r="C32" s="12">
        <f>17.1/100</f>
        <v>0.17100000000000001</v>
      </c>
      <c r="D32" s="12">
        <f>59.2/100</f>
        <v>0.59200000000000008</v>
      </c>
      <c r="E32" s="12">
        <f>17.6/100</f>
        <v>0.17600000000000002</v>
      </c>
      <c r="F32" s="12">
        <f>4.8/100</f>
        <v>4.8000000000000001E-2</v>
      </c>
      <c r="G32" s="12">
        <f>1.2/100</f>
        <v>1.2E-2</v>
      </c>
      <c r="H32" s="41">
        <f t="shared" si="1"/>
        <v>0.76300000000000012</v>
      </c>
      <c r="K32" s="12">
        <f t="shared" si="0"/>
        <v>0.06</v>
      </c>
    </row>
    <row r="33" spans="2:16" x14ac:dyDescent="0.2">
      <c r="B33" s="11" t="s">
        <v>138</v>
      </c>
      <c r="C33" s="12">
        <f>28.5/100</f>
        <v>0.28499999999999998</v>
      </c>
      <c r="D33" s="12">
        <f>43/100</f>
        <v>0.43</v>
      </c>
      <c r="E33" s="12">
        <f>20.6/100</f>
        <v>0.20600000000000002</v>
      </c>
      <c r="F33" s="12">
        <f>6.1/100</f>
        <v>6.0999999999999999E-2</v>
      </c>
      <c r="G33" s="12">
        <f>1.9/100</f>
        <v>1.9E-2</v>
      </c>
      <c r="H33" s="42">
        <f t="shared" si="1"/>
        <v>0.71499999999999997</v>
      </c>
      <c r="K33" s="12">
        <f t="shared" si="0"/>
        <v>0.08</v>
      </c>
    </row>
    <row r="34" spans="2:16" x14ac:dyDescent="0.2">
      <c r="B34" s="12"/>
      <c r="C34" s="11"/>
      <c r="D34" s="11"/>
      <c r="E34" s="11"/>
      <c r="F34" s="11"/>
      <c r="G34" s="11"/>
      <c r="H34" s="42">
        <f t="shared" si="1"/>
        <v>0</v>
      </c>
    </row>
    <row r="35" spans="2:16" x14ac:dyDescent="0.2">
      <c r="B35" s="11" t="s">
        <v>105</v>
      </c>
      <c r="C35" s="12">
        <f>12.4/100</f>
        <v>0.124</v>
      </c>
      <c r="D35" s="12">
        <f>53.2/100</f>
        <v>0.53200000000000003</v>
      </c>
      <c r="E35" s="12">
        <f>25.2/100</f>
        <v>0.252</v>
      </c>
      <c r="F35" s="12">
        <f>8.2/100</f>
        <v>8.199999999999999E-2</v>
      </c>
      <c r="G35" s="12">
        <f>1/100</f>
        <v>0.01</v>
      </c>
      <c r="H35" s="42">
        <f t="shared" si="1"/>
        <v>0.65600000000000003</v>
      </c>
      <c r="K35" s="12">
        <f t="shared" si="0"/>
        <v>9.1999999999999985E-2</v>
      </c>
    </row>
    <row r="36" spans="2:16" x14ac:dyDescent="0.2">
      <c r="B36" s="11" t="s">
        <v>139</v>
      </c>
      <c r="C36" s="12">
        <f>14.6/100</f>
        <v>0.14599999999999999</v>
      </c>
      <c r="D36" s="12">
        <f>60.7/100</f>
        <v>0.60699999999999998</v>
      </c>
      <c r="E36" s="12">
        <f>18.7/100</f>
        <v>0.187</v>
      </c>
      <c r="F36" s="12">
        <f>4.8/100</f>
        <v>4.8000000000000001E-2</v>
      </c>
      <c r="G36" s="12">
        <f>1.2/100</f>
        <v>1.2E-2</v>
      </c>
      <c r="H36" s="42">
        <f t="shared" si="1"/>
        <v>0.753</v>
      </c>
      <c r="K36" s="12">
        <f t="shared" si="0"/>
        <v>0.06</v>
      </c>
    </row>
    <row r="37" spans="2:16" x14ac:dyDescent="0.2">
      <c r="B37" s="2"/>
    </row>
    <row r="40" spans="2:16" x14ac:dyDescent="0.2">
      <c r="B40" s="14" t="s">
        <v>71</v>
      </c>
      <c r="C40" s="14"/>
    </row>
    <row r="41" spans="2:16" x14ac:dyDescent="0.2">
      <c r="C41" s="8" t="s">
        <v>56</v>
      </c>
      <c r="D41" s="8" t="s">
        <v>57</v>
      </c>
      <c r="E41" s="8" t="s">
        <v>58</v>
      </c>
      <c r="F41" s="8" t="s">
        <v>59</v>
      </c>
      <c r="G41" s="8" t="s">
        <v>60</v>
      </c>
      <c r="H41" s="8" t="s">
        <v>74</v>
      </c>
    </row>
    <row r="42" spans="2:16" x14ac:dyDescent="0.2">
      <c r="B42" s="2" t="s">
        <v>28</v>
      </c>
      <c r="C42" s="12">
        <f>13.8/100</f>
        <v>0.13800000000000001</v>
      </c>
      <c r="D42" s="12">
        <f>49.2/100</f>
        <v>0.49200000000000005</v>
      </c>
      <c r="E42" s="12">
        <f>25.6/100</f>
        <v>0.25600000000000001</v>
      </c>
      <c r="F42" s="12">
        <f>8/100</f>
        <v>0.08</v>
      </c>
      <c r="G42" s="12">
        <f>1.9/100</f>
        <v>1.9E-2</v>
      </c>
      <c r="H42" s="9"/>
    </row>
    <row r="43" spans="2:16" x14ac:dyDescent="0.2">
      <c r="C43" s="8"/>
      <c r="D43" s="8"/>
      <c r="E43" s="8"/>
      <c r="F43" s="8"/>
      <c r="G43" s="8"/>
      <c r="H43" s="8"/>
    </row>
    <row r="44" spans="2:16" x14ac:dyDescent="0.2">
      <c r="B44" s="2" t="s">
        <v>6</v>
      </c>
      <c r="C44" s="12">
        <f>17.1/100</f>
        <v>0.17100000000000001</v>
      </c>
      <c r="D44" s="12">
        <f>59.2/100</f>
        <v>0.59200000000000008</v>
      </c>
      <c r="E44" s="12">
        <f>17.6/100</f>
        <v>0.17600000000000002</v>
      </c>
      <c r="F44" s="12">
        <f>4.8/100</f>
        <v>4.8000000000000001E-2</v>
      </c>
      <c r="G44" s="12">
        <f>1.2/100</f>
        <v>1.2E-2</v>
      </c>
      <c r="H44" s="9"/>
    </row>
    <row r="45" spans="2:16" x14ac:dyDescent="0.2">
      <c r="B45" s="2" t="s">
        <v>7</v>
      </c>
      <c r="C45" s="12">
        <f>7/100</f>
        <v>7.0000000000000007E-2</v>
      </c>
      <c r="D45" s="12">
        <f>27.9/100</f>
        <v>0.27899999999999997</v>
      </c>
      <c r="E45" s="12">
        <f>36.4/100</f>
        <v>0.36399999999999999</v>
      </c>
      <c r="F45" s="12">
        <f>19.9/100</f>
        <v>0.19899999999999998</v>
      </c>
      <c r="G45" s="12">
        <f>4.5/100</f>
        <v>4.4999999999999998E-2</v>
      </c>
      <c r="H45" s="9"/>
    </row>
    <row r="46" spans="2:16" x14ac:dyDescent="0.2">
      <c r="B46" s="2" t="s">
        <v>19</v>
      </c>
      <c r="C46" s="12">
        <f>6.8/100</f>
        <v>6.8000000000000005E-2</v>
      </c>
      <c r="D46" s="12">
        <f>44.8/100</f>
        <v>0.44799999999999995</v>
      </c>
      <c r="E46" s="12">
        <f>34.6/100</f>
        <v>0.34600000000000003</v>
      </c>
      <c r="F46" s="12">
        <f>8.7/100</f>
        <v>8.6999999999999994E-2</v>
      </c>
      <c r="G46" s="12">
        <f>1.5/100</f>
        <v>1.4999999999999999E-2</v>
      </c>
      <c r="H46" s="1" t="s">
        <v>75</v>
      </c>
    </row>
    <row r="47" spans="2:16" x14ac:dyDescent="0.2">
      <c r="B47" s="2" t="s">
        <v>24</v>
      </c>
      <c r="C47" s="12">
        <f>14/100</f>
        <v>0.14000000000000001</v>
      </c>
      <c r="D47" s="12">
        <f>55.7/100</f>
        <v>0.55700000000000005</v>
      </c>
      <c r="E47" s="12">
        <f>19.5/100</f>
        <v>0.19500000000000001</v>
      </c>
      <c r="F47" s="12">
        <f>8.3/100</f>
        <v>8.3000000000000004E-2</v>
      </c>
      <c r="G47" s="12">
        <f>2/100</f>
        <v>0.02</v>
      </c>
    </row>
    <row r="48" spans="2:16" x14ac:dyDescent="0.2">
      <c r="B48" s="2" t="s">
        <v>44</v>
      </c>
      <c r="C48" s="12">
        <f>6.4/100</f>
        <v>6.4000000000000001E-2</v>
      </c>
      <c r="D48" s="12">
        <f>58.1/100</f>
        <v>0.58099999999999996</v>
      </c>
      <c r="E48" s="12">
        <f>23.1/100</f>
        <v>0.23100000000000001</v>
      </c>
      <c r="F48" s="12">
        <f>8.6/100</f>
        <v>8.5999999999999993E-2</v>
      </c>
      <c r="G48" s="12">
        <f>1.6/100</f>
        <v>1.6E-2</v>
      </c>
      <c r="I48" s="9"/>
      <c r="J48" s="9"/>
      <c r="K48" s="9"/>
      <c r="L48" s="9"/>
      <c r="M48" s="9"/>
      <c r="N48" s="9"/>
      <c r="O48" s="9"/>
      <c r="P48" s="9"/>
    </row>
    <row r="49" spans="2:15" x14ac:dyDescent="0.2">
      <c r="B49" s="2" t="s">
        <v>9</v>
      </c>
      <c r="C49" s="12">
        <f>7.1/100</f>
        <v>7.0999999999999994E-2</v>
      </c>
      <c r="D49" s="12">
        <f>44.3/100</f>
        <v>0.44299999999999995</v>
      </c>
      <c r="E49" s="12">
        <f>34.4/100</f>
        <v>0.34399999999999997</v>
      </c>
      <c r="F49" s="12">
        <f>10.4/100</f>
        <v>0.10400000000000001</v>
      </c>
      <c r="G49" s="12">
        <f>3.4/100</f>
        <v>3.4000000000000002E-2</v>
      </c>
      <c r="H49" s="9"/>
      <c r="I49" s="9"/>
      <c r="J49" s="9"/>
      <c r="K49" s="9"/>
      <c r="L49" s="9"/>
      <c r="M49" s="9"/>
      <c r="N49" s="9"/>
      <c r="O49" s="9"/>
    </row>
    <row r="50" spans="2:15" x14ac:dyDescent="0.2">
      <c r="B50" s="2" t="s">
        <v>111</v>
      </c>
      <c r="C50" s="18">
        <f>16.3/100</f>
        <v>0.16300000000000001</v>
      </c>
      <c r="D50" s="12">
        <f>63/100</f>
        <v>0.63</v>
      </c>
      <c r="E50" s="12">
        <f>16/100</f>
        <v>0.16</v>
      </c>
      <c r="F50" s="12">
        <f>3.1/100</f>
        <v>3.1E-2</v>
      </c>
      <c r="G50" s="12">
        <f>1.6/100</f>
        <v>1.6E-2</v>
      </c>
      <c r="H50" s="9"/>
      <c r="I50" s="9"/>
      <c r="J50" s="9"/>
      <c r="K50" s="9"/>
      <c r="L50" s="9"/>
      <c r="M50" s="9"/>
      <c r="N50" s="9"/>
      <c r="O50" s="9"/>
    </row>
    <row r="51" spans="2:15" x14ac:dyDescent="0.2">
      <c r="B51" s="2" t="s">
        <v>10</v>
      </c>
      <c r="C51" s="12">
        <f>9.9/100</f>
        <v>9.9000000000000005E-2</v>
      </c>
      <c r="D51" s="12">
        <f>36.5/100</f>
        <v>0.36499999999999999</v>
      </c>
      <c r="E51" s="12">
        <f>30.7/100</f>
        <v>0.307</v>
      </c>
      <c r="F51" s="12">
        <f>15.7/100</f>
        <v>0.157</v>
      </c>
      <c r="G51" s="12">
        <f>5.1/100</f>
        <v>5.0999999999999997E-2</v>
      </c>
      <c r="H51" s="9"/>
    </row>
    <row r="52" spans="2:15" x14ac:dyDescent="0.2">
      <c r="B52" s="2" t="s">
        <v>11</v>
      </c>
      <c r="C52" s="12">
        <f>28.5/100</f>
        <v>0.28499999999999998</v>
      </c>
      <c r="D52" s="12">
        <f>43/100</f>
        <v>0.43</v>
      </c>
      <c r="E52" s="12">
        <f>20.6/100</f>
        <v>0.20600000000000002</v>
      </c>
      <c r="F52" s="12">
        <f>6.1/100</f>
        <v>6.0999999999999999E-2</v>
      </c>
      <c r="G52" s="12">
        <f>1.9/100</f>
        <v>1.9E-2</v>
      </c>
      <c r="H52" s="9"/>
    </row>
    <row r="53" spans="2:15" x14ac:dyDescent="0.2">
      <c r="B53" s="2" t="s">
        <v>41</v>
      </c>
      <c r="C53" s="12">
        <f>15.5/100</f>
        <v>0.155</v>
      </c>
      <c r="D53" s="12">
        <f>52.2/100</f>
        <v>0.52200000000000002</v>
      </c>
      <c r="E53" s="12">
        <f>23.8/100</f>
        <v>0.23800000000000002</v>
      </c>
      <c r="F53" s="12">
        <f>5.7/100</f>
        <v>5.7000000000000002E-2</v>
      </c>
      <c r="G53" s="12">
        <f>2.1/100</f>
        <v>2.1000000000000001E-2</v>
      </c>
      <c r="H53" s="1" t="s">
        <v>75</v>
      </c>
    </row>
    <row r="54" spans="2:15" ht="12.75" customHeight="1" x14ac:dyDescent="0.2">
      <c r="B54" s="2" t="s">
        <v>12</v>
      </c>
      <c r="C54" s="12">
        <f>5.3/100</f>
        <v>5.2999999999999999E-2</v>
      </c>
      <c r="D54" s="12">
        <f>36.5/100</f>
        <v>0.36499999999999999</v>
      </c>
      <c r="E54" s="12">
        <f>41/100</f>
        <v>0.41</v>
      </c>
      <c r="F54" s="12">
        <f>12.8/100</f>
        <v>0.128</v>
      </c>
      <c r="G54" s="12">
        <f>2.7/100</f>
        <v>2.7000000000000003E-2</v>
      </c>
      <c r="H54" s="1" t="s">
        <v>75</v>
      </c>
      <c r="O54" s="86" t="s">
        <v>153</v>
      </c>
    </row>
    <row r="55" spans="2:15" x14ac:dyDescent="0.2">
      <c r="B55" s="2" t="s">
        <v>21</v>
      </c>
      <c r="C55" s="12">
        <f>16.4/100</f>
        <v>0.16399999999999998</v>
      </c>
      <c r="D55" s="12">
        <f>32.7/100</f>
        <v>0.32700000000000001</v>
      </c>
      <c r="E55" s="12">
        <f>37.3/100</f>
        <v>0.373</v>
      </c>
      <c r="F55" s="12">
        <f>10/100</f>
        <v>0.1</v>
      </c>
      <c r="G55" s="12">
        <f>2.2/100</f>
        <v>2.2000000000000002E-2</v>
      </c>
      <c r="O55" s="5" t="s">
        <v>73</v>
      </c>
    </row>
    <row r="56" spans="2:15" x14ac:dyDescent="0.2">
      <c r="B56" s="2" t="s">
        <v>8</v>
      </c>
      <c r="C56" s="12">
        <f>8.8/100</f>
        <v>8.8000000000000009E-2</v>
      </c>
      <c r="D56" s="12">
        <f>45.9/100</f>
        <v>0.45899999999999996</v>
      </c>
      <c r="E56" s="12">
        <f>32.1/100</f>
        <v>0.32100000000000001</v>
      </c>
      <c r="F56" s="12">
        <f>11.3/100</f>
        <v>0.113</v>
      </c>
      <c r="G56" s="12">
        <f>1.8/100</f>
        <v>1.8000000000000002E-2</v>
      </c>
    </row>
    <row r="57" spans="2:15" x14ac:dyDescent="0.2">
      <c r="B57" s="2" t="s">
        <v>15</v>
      </c>
      <c r="C57" s="12">
        <f>4.1/100</f>
        <v>4.0999999999999995E-2</v>
      </c>
      <c r="D57" s="12">
        <f>26.6/100</f>
        <v>0.26600000000000001</v>
      </c>
      <c r="E57" s="12">
        <f>38.9/100</f>
        <v>0.38900000000000001</v>
      </c>
      <c r="F57" s="12">
        <f>21.2/100</f>
        <v>0.21199999999999999</v>
      </c>
      <c r="G57" s="12">
        <f>6.8/100</f>
        <v>6.8000000000000005E-2</v>
      </c>
      <c r="H57" s="1" t="s">
        <v>75</v>
      </c>
    </row>
    <row r="58" spans="2:15" x14ac:dyDescent="0.2">
      <c r="B58" s="2" t="s">
        <v>14</v>
      </c>
      <c r="C58" s="12">
        <f>8.1/100</f>
        <v>8.1000000000000003E-2</v>
      </c>
      <c r="D58" s="12">
        <f>37.3/100</f>
        <v>0.373</v>
      </c>
      <c r="E58" s="12">
        <f>33.9/100</f>
        <v>0.33899999999999997</v>
      </c>
      <c r="F58" s="12">
        <f>13/100</f>
        <v>0.13</v>
      </c>
      <c r="G58" s="12">
        <f>2.1/100</f>
        <v>2.1000000000000001E-2</v>
      </c>
      <c r="H58" s="1" t="s">
        <v>75</v>
      </c>
    </row>
    <row r="59" spans="2:15" x14ac:dyDescent="0.2">
      <c r="B59" s="2" t="s">
        <v>40</v>
      </c>
      <c r="C59" s="12">
        <f>14.9/100</f>
        <v>0.14899999999999999</v>
      </c>
      <c r="D59" s="12">
        <f>59/100</f>
        <v>0.59</v>
      </c>
      <c r="E59" s="12">
        <f>18.7/100</f>
        <v>0.187</v>
      </c>
      <c r="F59" s="12">
        <f>4.7/100</f>
        <v>4.7E-2</v>
      </c>
      <c r="G59" s="12">
        <f>2/100</f>
        <v>0.02</v>
      </c>
    </row>
    <row r="60" spans="2:15" x14ac:dyDescent="0.2">
      <c r="B60" s="2" t="s">
        <v>13</v>
      </c>
      <c r="C60" s="12">
        <f>9.7/100</f>
        <v>9.6999999999999989E-2</v>
      </c>
      <c r="D60" s="12">
        <f>48.1/100</f>
        <v>0.48100000000000004</v>
      </c>
      <c r="E60" s="12">
        <f>28/100</f>
        <v>0.28000000000000003</v>
      </c>
      <c r="F60" s="12">
        <f>12/100</f>
        <v>0.12</v>
      </c>
      <c r="G60" s="12">
        <f>1.8/100</f>
        <v>1.8000000000000002E-2</v>
      </c>
    </row>
    <row r="61" spans="2:15" x14ac:dyDescent="0.2">
      <c r="B61" s="2" t="s">
        <v>16</v>
      </c>
      <c r="C61" s="12">
        <f>5.7/100</f>
        <v>5.7000000000000002E-2</v>
      </c>
      <c r="D61" s="12">
        <f>56.1/100</f>
        <v>0.56100000000000005</v>
      </c>
      <c r="E61" s="12">
        <f>24.8/100</f>
        <v>0.248</v>
      </c>
      <c r="F61" s="12">
        <f>9.7/100</f>
        <v>9.6999999999999989E-2</v>
      </c>
      <c r="G61" s="12">
        <f>2.9/100</f>
        <v>2.8999999999999998E-2</v>
      </c>
    </row>
    <row r="62" spans="2:15" x14ac:dyDescent="0.2">
      <c r="B62" s="2" t="s">
        <v>25</v>
      </c>
      <c r="C62" s="12">
        <f>15.3/100</f>
        <v>0.153</v>
      </c>
      <c r="D62" s="12">
        <f>60.9/100</f>
        <v>0.60899999999999999</v>
      </c>
      <c r="E62" s="12">
        <f>18.2/100</f>
        <v>0.182</v>
      </c>
      <c r="F62" s="12">
        <f>3.4/100</f>
        <v>3.4000000000000002E-2</v>
      </c>
      <c r="G62" s="12">
        <f>1.4/100</f>
        <v>1.3999999999999999E-2</v>
      </c>
    </row>
    <row r="63" spans="2:15" x14ac:dyDescent="0.2">
      <c r="B63" s="2" t="s">
        <v>5</v>
      </c>
      <c r="C63" s="12">
        <f>14.4/100</f>
        <v>0.14400000000000002</v>
      </c>
      <c r="D63" s="12">
        <f>61.5/100</f>
        <v>0.61499999999999999</v>
      </c>
      <c r="E63" s="12">
        <f>17.4/100</f>
        <v>0.17399999999999999</v>
      </c>
      <c r="F63" s="12">
        <f>5.8/100</f>
        <v>5.7999999999999996E-2</v>
      </c>
      <c r="G63" s="12">
        <f>0.9/100</f>
        <v>9.0000000000000011E-3</v>
      </c>
    </row>
    <row r="64" spans="2:15" x14ac:dyDescent="0.2">
      <c r="B64" s="2" t="s">
        <v>22</v>
      </c>
      <c r="C64" s="12">
        <f>16.6/100</f>
        <v>0.16600000000000001</v>
      </c>
      <c r="D64" s="12">
        <f>51.9/100</f>
        <v>0.51900000000000002</v>
      </c>
      <c r="E64" s="12">
        <f>21.9/100</f>
        <v>0.21899999999999997</v>
      </c>
      <c r="F64" s="12">
        <f>7/100</f>
        <v>7.0000000000000007E-2</v>
      </c>
      <c r="G64" s="12">
        <f>1.1/100</f>
        <v>1.1000000000000001E-2</v>
      </c>
      <c r="H64" s="1" t="s">
        <v>75</v>
      </c>
    </row>
    <row r="65" spans="2:8" x14ac:dyDescent="0.2">
      <c r="B65" s="2" t="s">
        <v>17</v>
      </c>
      <c r="C65" s="12">
        <f>15.3/100</f>
        <v>0.153</v>
      </c>
      <c r="D65" s="12">
        <f>40.7/100</f>
        <v>0.40700000000000003</v>
      </c>
      <c r="E65" s="12">
        <f>26.7/100</f>
        <v>0.26700000000000002</v>
      </c>
      <c r="F65" s="12">
        <f>13.1/100</f>
        <v>0.13100000000000001</v>
      </c>
      <c r="G65" s="12">
        <f>3.9/100</f>
        <v>3.9E-2</v>
      </c>
      <c r="H65" s="9"/>
    </row>
    <row r="66" spans="2:8" x14ac:dyDescent="0.2">
      <c r="B66" s="2" t="s">
        <v>18</v>
      </c>
      <c r="C66" s="12">
        <f>4.7/100</f>
        <v>4.7E-2</v>
      </c>
      <c r="D66" s="12">
        <f>41.7/100</f>
        <v>0.41700000000000004</v>
      </c>
      <c r="E66" s="12">
        <f>31.4/100</f>
        <v>0.314</v>
      </c>
      <c r="F66" s="12">
        <f>12.2/100</f>
        <v>0.122</v>
      </c>
      <c r="G66" s="12">
        <f>3/100</f>
        <v>0.03</v>
      </c>
      <c r="H66" s="9"/>
    </row>
    <row r="67" spans="2:8" x14ac:dyDescent="0.2">
      <c r="B67" s="2" t="s">
        <v>23</v>
      </c>
      <c r="C67" s="12">
        <f>10.1/100</f>
        <v>0.10099999999999999</v>
      </c>
      <c r="D67" s="12">
        <f>48.8/100</f>
        <v>0.48799999999999999</v>
      </c>
      <c r="E67" s="12">
        <f>31.6/100</f>
        <v>0.316</v>
      </c>
      <c r="F67" s="12">
        <f>7.1/100</f>
        <v>7.0999999999999994E-2</v>
      </c>
      <c r="G67" s="12">
        <f>1.9/100</f>
        <v>1.9E-2</v>
      </c>
      <c r="H67" s="9"/>
    </row>
    <row r="68" spans="2:8" x14ac:dyDescent="0.2">
      <c r="B68" s="2" t="s">
        <v>126</v>
      </c>
      <c r="C68" s="18">
        <f>9.6/100</f>
        <v>9.6000000000000002E-2</v>
      </c>
      <c r="D68" s="12">
        <v>0.48199999999999998</v>
      </c>
      <c r="E68" s="12">
        <f>27.5/100</f>
        <v>0.27500000000000002</v>
      </c>
      <c r="F68" s="12">
        <f>6.3/100</f>
        <v>6.3E-2</v>
      </c>
      <c r="G68" s="12">
        <f>1.1/100</f>
        <v>1.1000000000000001E-2</v>
      </c>
      <c r="H68" s="9"/>
    </row>
    <row r="69" spans="2:8" x14ac:dyDescent="0.2">
      <c r="B69" s="2" t="s">
        <v>20</v>
      </c>
      <c r="C69" s="12">
        <f>12.3/100</f>
        <v>0.12300000000000001</v>
      </c>
      <c r="D69" s="12">
        <f>63.6/100</f>
        <v>0.63600000000000001</v>
      </c>
      <c r="E69" s="12">
        <f>18/100</f>
        <v>0.18</v>
      </c>
      <c r="F69" s="12">
        <f>4.5/100</f>
        <v>4.4999999999999998E-2</v>
      </c>
      <c r="G69" s="12">
        <f>0.9/100</f>
        <v>9.0000000000000011E-3</v>
      </c>
      <c r="H69" s="9"/>
    </row>
    <row r="70" spans="2:8" x14ac:dyDescent="0.2">
      <c r="B70" s="2" t="s">
        <v>27</v>
      </c>
      <c r="C70" s="12">
        <f>12.8/100</f>
        <v>0.128</v>
      </c>
      <c r="D70" s="12">
        <f>51.8/100</f>
        <v>0.51800000000000002</v>
      </c>
      <c r="E70" s="12">
        <f>24.3/100</f>
        <v>0.24299999999999999</v>
      </c>
      <c r="F70" s="12">
        <f>7.4/100</f>
        <v>7.400000000000001E-2</v>
      </c>
      <c r="G70" s="12">
        <f>2.6/100</f>
        <v>2.6000000000000002E-2</v>
      </c>
      <c r="H70" s="9"/>
    </row>
    <row r="71" spans="2:8" x14ac:dyDescent="0.2">
      <c r="B71" s="2" t="s">
        <v>76</v>
      </c>
      <c r="C71" s="18">
        <v>0.127</v>
      </c>
      <c r="D71" s="12">
        <f>57.5/100</f>
        <v>0.57499999999999996</v>
      </c>
      <c r="E71" s="12">
        <f>22.3/100</f>
        <v>0.223</v>
      </c>
      <c r="F71" s="12">
        <f>5.9/100</f>
        <v>5.9000000000000004E-2</v>
      </c>
      <c r="G71" s="12">
        <f>1.5/100</f>
        <v>1.4999999999999999E-2</v>
      </c>
      <c r="H71" s="9"/>
    </row>
    <row r="72" spans="2:8" x14ac:dyDescent="0.2">
      <c r="B72" s="2"/>
      <c r="C72" s="9"/>
      <c r="D72" s="9"/>
      <c r="E72" s="9"/>
      <c r="F72" s="9"/>
      <c r="G72" s="9"/>
      <c r="H72" s="9"/>
    </row>
    <row r="73" spans="2:8" x14ac:dyDescent="0.2">
      <c r="B73" s="2" t="s">
        <v>26</v>
      </c>
      <c r="C73" s="9">
        <f>12.4/100</f>
        <v>0.124</v>
      </c>
      <c r="D73" s="9">
        <f>53.2/100</f>
        <v>0.53200000000000003</v>
      </c>
      <c r="E73" s="9">
        <f>25.2/100</f>
        <v>0.252</v>
      </c>
      <c r="F73" s="9">
        <f>8.2/100</f>
        <v>8.199999999999999E-2</v>
      </c>
      <c r="G73" s="9">
        <f>1/100</f>
        <v>0.01</v>
      </c>
      <c r="H73" s="9"/>
    </row>
    <row r="74" spans="2:8" x14ac:dyDescent="0.2">
      <c r="B74" s="2" t="s">
        <v>50</v>
      </c>
      <c r="C74" s="9">
        <f>14.6/100</f>
        <v>0.14599999999999999</v>
      </c>
      <c r="D74" s="9">
        <f>60.7/100</f>
        <v>0.60699999999999998</v>
      </c>
      <c r="E74" s="9">
        <f>18.7/100</f>
        <v>0.187</v>
      </c>
      <c r="F74" s="9">
        <f>4.8/100</f>
        <v>4.8000000000000001E-2</v>
      </c>
      <c r="G74" s="9">
        <f>1.2/100</f>
        <v>1.2E-2</v>
      </c>
      <c r="H74" s="9"/>
    </row>
  </sheetData>
  <sortState ref="B3:G28">
    <sortCondition ref="C3:C28"/>
  </sortState>
  <pageMargins left="0.7" right="0.7" top="0.75" bottom="0.75" header="0.3" footer="0.3"/>
  <pageSetup paperSize="9" orientation="portrait" r:id="rId1"/>
  <ignoredErrors>
    <ignoredError sqref="G24 G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1</vt:lpstr>
      <vt:lpstr>Table 2</vt:lpstr>
      <vt:lpstr>Figure 1 </vt:lpstr>
      <vt:lpstr>Figure 2</vt:lpstr>
      <vt:lpstr>Figure 3</vt:lpstr>
      <vt:lpstr>Figure 4  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DANTAITE Brigita (ESTAT-EXT)</dc:creator>
  <cp:lastModifiedBy>DANTAITE Brigita (ESTAT-EXT)</cp:lastModifiedBy>
  <dcterms:created xsi:type="dcterms:W3CDTF">2019-10-22T12:12:36Z</dcterms:created>
  <dcterms:modified xsi:type="dcterms:W3CDTF">2020-01-08T11:05:46Z</dcterms:modified>
</cp:coreProperties>
</file>