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EnvironmentalAccounts\EA02.01 RME\2021\1 EU RME model up-date\2 SE article update\"/>
    </mc:Choice>
  </mc:AlternateContent>
  <bookViews>
    <workbookView xWindow="320" yWindow="270" windowWidth="22460" windowHeight="10130"/>
  </bookViews>
  <sheets>
    <sheet name="Cover" sheetId="12" r:id="rId1"/>
    <sheet name="Fig1" sheetId="3" r:id="rId2"/>
    <sheet name="Fig2" sheetId="1" r:id="rId3"/>
    <sheet name="Fig3" sheetId="5" r:id="rId4"/>
    <sheet name="Fig4" sheetId="14" r:id="rId5"/>
    <sheet name="Table1" sheetId="17" r:id="rId6"/>
    <sheet name="RME data" sheetId="9" r:id="rId7"/>
    <sheet name="RME detailed data" sheetId="16" r:id="rId8"/>
    <sheet name="EW-MFA data" sheetId="10" r:id="rId9"/>
    <sheet name="GVA construction" sheetId="13" r:id="rId10"/>
    <sheet name="Aux data final demand" sheetId="18" r:id="rId11"/>
  </sheets>
  <definedNames>
    <definedName name="_xlnm._FilterDatabase" localSheetId="7" hidden="1">'RME detailed data'!$K$19:$O$81</definedName>
  </definedNames>
  <calcPr calcId="162913"/>
</workbook>
</file>

<file path=xl/calcChain.xml><?xml version="1.0" encoding="utf-8"?>
<calcChain xmlns="http://schemas.openxmlformats.org/spreadsheetml/2006/main">
  <c r="A1" i="14" l="1"/>
  <c r="J74" i="3"/>
  <c r="J73" i="3"/>
  <c r="J72" i="3"/>
  <c r="J71" i="3"/>
  <c r="C90" i="9" l="1"/>
  <c r="J59" i="3"/>
  <c r="I59" i="3"/>
  <c r="D72" i="3"/>
  <c r="D71" i="3"/>
  <c r="AA145" i="10"/>
  <c r="AA144" i="10"/>
  <c r="Z144" i="10"/>
  <c r="C51" i="14" l="1"/>
  <c r="D313" i="16"/>
  <c r="D238" i="16"/>
  <c r="D163" i="16"/>
  <c r="D88" i="16"/>
  <c r="D13" i="16"/>
  <c r="O18" i="16"/>
  <c r="N18" i="16"/>
  <c r="M18" i="16"/>
  <c r="L18" i="16"/>
  <c r="K18" i="16"/>
  <c r="A1" i="17" l="1"/>
  <c r="W54" i="5"/>
  <c r="W55" i="5"/>
  <c r="W56" i="5"/>
  <c r="W57" i="5"/>
  <c r="V54" i="5"/>
  <c r="V69" i="5" s="1"/>
  <c r="V55" i="5"/>
  <c r="V56" i="5"/>
  <c r="V57" i="5"/>
  <c r="U54" i="5"/>
  <c r="U55" i="5"/>
  <c r="U56" i="5"/>
  <c r="U57" i="5"/>
  <c r="U69" i="5"/>
  <c r="C73" i="5"/>
  <c r="C66" i="5"/>
  <c r="C60" i="5"/>
  <c r="C51" i="5"/>
  <c r="A1" i="5"/>
  <c r="F50" i="1"/>
  <c r="D50" i="1"/>
  <c r="C48" i="1"/>
  <c r="A1" i="1"/>
  <c r="G74" i="3"/>
  <c r="G73" i="3"/>
  <c r="G72" i="3"/>
  <c r="G71" i="3"/>
  <c r="E74" i="3"/>
  <c r="E73" i="3"/>
  <c r="E72" i="3"/>
  <c r="E71" i="3"/>
  <c r="Y92" i="9"/>
  <c r="Z92" i="9" s="1"/>
  <c r="A1" i="3"/>
  <c r="C56" i="3"/>
  <c r="W69" i="5" l="1"/>
  <c r="M22" i="18"/>
  <c r="N22" i="18"/>
  <c r="L22" i="18"/>
  <c r="F30" i="13"/>
  <c r="G30" i="13" s="1"/>
  <c r="F31" i="13"/>
  <c r="G31" i="13" s="1"/>
  <c r="Y27" i="13"/>
  <c r="X27" i="13"/>
  <c r="W27" i="13"/>
  <c r="V27" i="13"/>
  <c r="U27" i="13"/>
  <c r="T27" i="13"/>
  <c r="Z138" i="10"/>
  <c r="AA138" i="10"/>
  <c r="Z139" i="10"/>
  <c r="AA139" i="10"/>
  <c r="Z140" i="10"/>
  <c r="AA140" i="10"/>
  <c r="Z141" i="10"/>
  <c r="AA141" i="10"/>
  <c r="Z142" i="10"/>
  <c r="AA142" i="10"/>
  <c r="Z143" i="10"/>
  <c r="AA143" i="10"/>
  <c r="Z145" i="10"/>
  <c r="Z146" i="10"/>
  <c r="AA146" i="10"/>
  <c r="Z147" i="10"/>
  <c r="AA147" i="10"/>
  <c r="Z148" i="10"/>
  <c r="AA148" i="10"/>
  <c r="Z149" i="10"/>
  <c r="AA149" i="10"/>
  <c r="AA164" i="10" s="1"/>
  <c r="Z150" i="10"/>
  <c r="AA150" i="10"/>
  <c r="Z151" i="10"/>
  <c r="AA151" i="10"/>
  <c r="Z152" i="10"/>
  <c r="Z167" i="10" s="1"/>
  <c r="AA152" i="10"/>
  <c r="AA167" i="10" s="1"/>
  <c r="Z153" i="10"/>
  <c r="W63" i="5" s="1"/>
  <c r="W76" i="5" s="1"/>
  <c r="AA153" i="10"/>
  <c r="Z154" i="10"/>
  <c r="AA154" i="10"/>
  <c r="Z155" i="10"/>
  <c r="AA155" i="10"/>
  <c r="Z156" i="10"/>
  <c r="AA156" i="10"/>
  <c r="Z157" i="10"/>
  <c r="AA157" i="10"/>
  <c r="Z158" i="10"/>
  <c r="AA158" i="10"/>
  <c r="Z159" i="10"/>
  <c r="AA159" i="10"/>
  <c r="Z160" i="10"/>
  <c r="AA160" i="10"/>
  <c r="Z161" i="10"/>
  <c r="AA161" i="10"/>
  <c r="Z162" i="10"/>
  <c r="AA162" i="10"/>
  <c r="Z163" i="10"/>
  <c r="AA163" i="10"/>
  <c r="Z164" i="10"/>
  <c r="Z166" i="10"/>
  <c r="AA103" i="10"/>
  <c r="AA104" i="10"/>
  <c r="AA105" i="10"/>
  <c r="AA106" i="10"/>
  <c r="AA107" i="10"/>
  <c r="AA108" i="10"/>
  <c r="AA109" i="10"/>
  <c r="AA110" i="10"/>
  <c r="AA130" i="10" s="1"/>
  <c r="AA111" i="10"/>
  <c r="AA131" i="10" s="1"/>
  <c r="AA112" i="10"/>
  <c r="AA113" i="10"/>
  <c r="AA128" i="10" s="1"/>
  <c r="AA114" i="10"/>
  <c r="AA129" i="10" s="1"/>
  <c r="AA115" i="10"/>
  <c r="AA116" i="10"/>
  <c r="AA117" i="10"/>
  <c r="AA118" i="10"/>
  <c r="AA119" i="10"/>
  <c r="AA120" i="10"/>
  <c r="AA121" i="10"/>
  <c r="AA122" i="10"/>
  <c r="AA123" i="10"/>
  <c r="AA124" i="10"/>
  <c r="AA125" i="10"/>
  <c r="AA126" i="10"/>
  <c r="AA127" i="10"/>
  <c r="Z103" i="10"/>
  <c r="Z104" i="10"/>
  <c r="Z105" i="10"/>
  <c r="Z106" i="10"/>
  <c r="Z107" i="10"/>
  <c r="Z108" i="10"/>
  <c r="Z109" i="10"/>
  <c r="Z110" i="10"/>
  <c r="Z130" i="10" s="1"/>
  <c r="Z111" i="10"/>
  <c r="Z131" i="10" s="1"/>
  <c r="Z112" i="10"/>
  <c r="Z132" i="10" s="1"/>
  <c r="Z113" i="10"/>
  <c r="Z114" i="10"/>
  <c r="Z115" i="10"/>
  <c r="Z116" i="10"/>
  <c r="Z117" i="10"/>
  <c r="Z118" i="10"/>
  <c r="Z119" i="10"/>
  <c r="Z120" i="10"/>
  <c r="Z121" i="10"/>
  <c r="Z122" i="10"/>
  <c r="Z123" i="10"/>
  <c r="Z124" i="10"/>
  <c r="Z125" i="10"/>
  <c r="Z126" i="10"/>
  <c r="Z127" i="10"/>
  <c r="Z128" i="10"/>
  <c r="Z93" i="9"/>
  <c r="Z94" i="9"/>
  <c r="Z95" i="9"/>
  <c r="Z96" i="9"/>
  <c r="Z97" i="9"/>
  <c r="Z98" i="9"/>
  <c r="Z99" i="9"/>
  <c r="Z119" i="9" s="1"/>
  <c r="Z100" i="9"/>
  <c r="Z120" i="9" s="1"/>
  <c r="Z101" i="9"/>
  <c r="Z121" i="9" s="1"/>
  <c r="Z102" i="9"/>
  <c r="Z103" i="9"/>
  <c r="Z118" i="9" s="1"/>
  <c r="Z104" i="9"/>
  <c r="Z105" i="9"/>
  <c r="Z106" i="9"/>
  <c r="Z107" i="9"/>
  <c r="Z122" i="9" s="1"/>
  <c r="Z108" i="9"/>
  <c r="Z109" i="9"/>
  <c r="Z110" i="9"/>
  <c r="Z111" i="9"/>
  <c r="Z112" i="9"/>
  <c r="Z113" i="9"/>
  <c r="Z114" i="9"/>
  <c r="Z115" i="9"/>
  <c r="Z116" i="9"/>
  <c r="Z117" i="9"/>
  <c r="Y93" i="9"/>
  <c r="D53" i="1" s="1"/>
  <c r="Y94" i="9"/>
  <c r="Y95" i="9"/>
  <c r="Y96" i="9"/>
  <c r="Y97" i="9"/>
  <c r="Y98" i="9"/>
  <c r="F53" i="1" s="1"/>
  <c r="Y99" i="9"/>
  <c r="E59" i="3" s="1"/>
  <c r="Y100" i="9"/>
  <c r="E60" i="3" s="1"/>
  <c r="Y101" i="9"/>
  <c r="E61" i="3" s="1"/>
  <c r="Y102" i="9"/>
  <c r="E62" i="3" s="1"/>
  <c r="Y103" i="9"/>
  <c r="Y104" i="9"/>
  <c r="G59" i="3" s="1"/>
  <c r="Y105" i="9"/>
  <c r="Y106" i="9"/>
  <c r="Y107" i="9"/>
  <c r="Y108" i="9"/>
  <c r="D54" i="1" s="1"/>
  <c r="Y109" i="9"/>
  <c r="Y110" i="9"/>
  <c r="Y111" i="9"/>
  <c r="Y112" i="9"/>
  <c r="Y113" i="9"/>
  <c r="Y114" i="9"/>
  <c r="Y115" i="9"/>
  <c r="Y116" i="9"/>
  <c r="Y117" i="9"/>
  <c r="Z83" i="9"/>
  <c r="Z84" i="9"/>
  <c r="Z85" i="9"/>
  <c r="Z86" i="9"/>
  <c r="Z87" i="9"/>
  <c r="Y83" i="9"/>
  <c r="Y84" i="9"/>
  <c r="Y85" i="9"/>
  <c r="Y86" i="9"/>
  <c r="Y87" i="9"/>
  <c r="Y122" i="9" l="1"/>
  <c r="J62" i="3" s="1"/>
  <c r="G62" i="3"/>
  <c r="Y121" i="9"/>
  <c r="J61" i="3" s="1"/>
  <c r="G61" i="3"/>
  <c r="Y120" i="9"/>
  <c r="J60" i="3" s="1"/>
  <c r="G60" i="3"/>
  <c r="Y118" i="9"/>
  <c r="F54" i="1"/>
  <c r="Y119" i="9"/>
  <c r="AA165" i="10"/>
  <c r="AA166" i="10"/>
  <c r="Z165" i="10"/>
  <c r="AA132" i="10"/>
  <c r="Z129" i="10"/>
  <c r="N21" i="18"/>
  <c r="M21" i="18"/>
  <c r="L21" i="18"/>
  <c r="N20" i="18"/>
  <c r="M20" i="18"/>
  <c r="L20" i="18"/>
  <c r="N19" i="18"/>
  <c r="M19" i="18"/>
  <c r="L19" i="18"/>
  <c r="N18" i="18"/>
  <c r="M18" i="18"/>
  <c r="L18" i="18"/>
  <c r="N17" i="18"/>
  <c r="M17" i="18"/>
  <c r="L17" i="18"/>
  <c r="H30" i="13"/>
  <c r="I30" i="13" s="1"/>
  <c r="J30" i="13" s="1"/>
  <c r="K30" i="13" s="1"/>
  <c r="L30" i="13" s="1"/>
  <c r="H31" i="13"/>
  <c r="I31" i="13" s="1"/>
  <c r="J31" i="13" s="1"/>
  <c r="K31" i="13" s="1"/>
  <c r="L31" i="13" s="1"/>
  <c r="M31" i="13" s="1"/>
  <c r="N31" i="13" s="1"/>
  <c r="O31" i="13" s="1"/>
  <c r="P31" i="13" s="1"/>
  <c r="Q31" i="13" s="1"/>
  <c r="R31" i="13" s="1"/>
  <c r="O27" i="13"/>
  <c r="L27" i="13"/>
  <c r="M30" i="13" l="1"/>
  <c r="N30" i="13" s="1"/>
  <c r="O30" i="13" s="1"/>
  <c r="P30" i="13" s="1"/>
  <c r="Q30" i="13" s="1"/>
  <c r="R30" i="13" s="1"/>
  <c r="S31" i="13"/>
  <c r="T31" i="13" s="1"/>
  <c r="U31" i="13" s="1"/>
  <c r="V31" i="13" s="1"/>
  <c r="W31" i="13" s="1"/>
  <c r="X31" i="13" s="1"/>
  <c r="Y31" i="13" s="1"/>
  <c r="Y138" i="10"/>
  <c r="D51" i="1" s="1"/>
  <c r="Y139" i="10"/>
  <c r="Y140" i="10"/>
  <c r="Y141" i="10"/>
  <c r="Y142" i="10"/>
  <c r="Y143" i="10"/>
  <c r="F51" i="1" s="1"/>
  <c r="Y144" i="10"/>
  <c r="D59" i="3" s="1"/>
  <c r="Y145" i="10"/>
  <c r="Y146" i="10"/>
  <c r="D61" i="3" s="1"/>
  <c r="Y147" i="10"/>
  <c r="Y148" i="10"/>
  <c r="F52" i="1" s="1"/>
  <c r="Y149" i="10"/>
  <c r="F59" i="3" s="1"/>
  <c r="P59" i="3" s="1"/>
  <c r="Y150" i="10"/>
  <c r="F60" i="3" s="1"/>
  <c r="Y151" i="10"/>
  <c r="F61" i="3" s="1"/>
  <c r="Y152" i="10"/>
  <c r="F62" i="3" s="1"/>
  <c r="Y153" i="10"/>
  <c r="Y154" i="10"/>
  <c r="Y155" i="10"/>
  <c r="Y156" i="10"/>
  <c r="Y157" i="10"/>
  <c r="Y158" i="10"/>
  <c r="Y159" i="10"/>
  <c r="Y160" i="10"/>
  <c r="Y161" i="10"/>
  <c r="Y162" i="10"/>
  <c r="Y163" i="10"/>
  <c r="Y103" i="10"/>
  <c r="Y104" i="10"/>
  <c r="Y105" i="10"/>
  <c r="Y106" i="10"/>
  <c r="Y107" i="10"/>
  <c r="Y108" i="10"/>
  <c r="Y109" i="10"/>
  <c r="Y110" i="10"/>
  <c r="Y111" i="10"/>
  <c r="D73" i="3" s="1"/>
  <c r="Y112" i="10"/>
  <c r="Y113" i="10"/>
  <c r="Y114" i="10"/>
  <c r="Y115" i="10"/>
  <c r="F72" i="3" s="1"/>
  <c r="Y116" i="10"/>
  <c r="Y117" i="10"/>
  <c r="F74" i="3" s="1"/>
  <c r="Y118" i="10"/>
  <c r="Y119" i="10"/>
  <c r="Y120" i="10"/>
  <c r="Y121" i="10"/>
  <c r="Y122" i="10"/>
  <c r="Y123" i="10"/>
  <c r="Y124" i="10"/>
  <c r="Y125" i="10"/>
  <c r="Y126" i="10"/>
  <c r="Y127" i="10"/>
  <c r="Y128" i="10"/>
  <c r="C68" i="3"/>
  <c r="X163" i="10"/>
  <c r="W163" i="10"/>
  <c r="V163" i="10"/>
  <c r="U163" i="10"/>
  <c r="T163" i="10"/>
  <c r="S163" i="10"/>
  <c r="R163" i="10"/>
  <c r="Q163" i="10"/>
  <c r="P163" i="10"/>
  <c r="O163" i="10"/>
  <c r="N163" i="10"/>
  <c r="M163" i="10"/>
  <c r="L163" i="10"/>
  <c r="K163" i="10"/>
  <c r="J163" i="10"/>
  <c r="I163" i="10"/>
  <c r="H163" i="10"/>
  <c r="G163" i="10"/>
  <c r="H159" i="10"/>
  <c r="I159" i="10"/>
  <c r="J159" i="10"/>
  <c r="K159" i="10"/>
  <c r="L159" i="10"/>
  <c r="M159" i="10"/>
  <c r="N159" i="10"/>
  <c r="O159" i="10"/>
  <c r="P159" i="10"/>
  <c r="Q159" i="10"/>
  <c r="R159" i="10"/>
  <c r="S159" i="10"/>
  <c r="T159" i="10"/>
  <c r="U159" i="10"/>
  <c r="V159" i="10"/>
  <c r="W159" i="10"/>
  <c r="X159" i="10"/>
  <c r="H160" i="10"/>
  <c r="I160" i="10"/>
  <c r="J160" i="10"/>
  <c r="K160" i="10"/>
  <c r="L160" i="10"/>
  <c r="M160" i="10"/>
  <c r="N160" i="10"/>
  <c r="O160" i="10"/>
  <c r="P160" i="10"/>
  <c r="Q160" i="10"/>
  <c r="R160" i="10"/>
  <c r="S160" i="10"/>
  <c r="T160" i="10"/>
  <c r="U160" i="10"/>
  <c r="V160" i="10"/>
  <c r="W160" i="10"/>
  <c r="X160" i="10"/>
  <c r="H161" i="10"/>
  <c r="I161" i="10"/>
  <c r="J161" i="10"/>
  <c r="K161" i="10"/>
  <c r="L161" i="10"/>
  <c r="M161" i="10"/>
  <c r="N161" i="10"/>
  <c r="O161" i="10"/>
  <c r="P161" i="10"/>
  <c r="Q161" i="10"/>
  <c r="R161" i="10"/>
  <c r="S161" i="10"/>
  <c r="T161" i="10"/>
  <c r="U161" i="10"/>
  <c r="V161" i="10"/>
  <c r="W161" i="10"/>
  <c r="X161" i="10"/>
  <c r="H162" i="10"/>
  <c r="I162" i="10"/>
  <c r="J162" i="10"/>
  <c r="K162" i="10"/>
  <c r="L162" i="10"/>
  <c r="M162" i="10"/>
  <c r="N162" i="10"/>
  <c r="O162" i="10"/>
  <c r="P162" i="10"/>
  <c r="Q162" i="10"/>
  <c r="R162" i="10"/>
  <c r="S162" i="10"/>
  <c r="T162" i="10"/>
  <c r="U162" i="10"/>
  <c r="V162" i="10"/>
  <c r="W162" i="10"/>
  <c r="X162" i="10"/>
  <c r="G160" i="10"/>
  <c r="G161" i="10"/>
  <c r="G162" i="10"/>
  <c r="G159" i="10"/>
  <c r="H158" i="10"/>
  <c r="I158" i="10"/>
  <c r="J158" i="10"/>
  <c r="K158" i="10"/>
  <c r="L158" i="10"/>
  <c r="M158" i="10"/>
  <c r="N158" i="10"/>
  <c r="O158" i="10"/>
  <c r="P158" i="10"/>
  <c r="Q158" i="10"/>
  <c r="R158" i="10"/>
  <c r="S158" i="10"/>
  <c r="T158" i="10"/>
  <c r="U158" i="10"/>
  <c r="V158" i="10"/>
  <c r="W158" i="10"/>
  <c r="X158" i="10"/>
  <c r="G158" i="10"/>
  <c r="H154" i="10"/>
  <c r="I154" i="10"/>
  <c r="J154" i="10"/>
  <c r="K154" i="10"/>
  <c r="L154" i="10"/>
  <c r="M154" i="10"/>
  <c r="N154" i="10"/>
  <c r="O154" i="10"/>
  <c r="P154" i="10"/>
  <c r="Q154" i="10"/>
  <c r="R154" i="10"/>
  <c r="S154" i="10"/>
  <c r="T154" i="10"/>
  <c r="U154" i="10"/>
  <c r="V154" i="10"/>
  <c r="W154" i="10"/>
  <c r="X154" i="10"/>
  <c r="H155" i="10"/>
  <c r="I155" i="10"/>
  <c r="J155" i="10"/>
  <c r="K155" i="10"/>
  <c r="L155" i="10"/>
  <c r="M155" i="10"/>
  <c r="N155" i="10"/>
  <c r="O155" i="10"/>
  <c r="P155" i="10"/>
  <c r="Q155" i="10"/>
  <c r="R155" i="10"/>
  <c r="S155" i="10"/>
  <c r="T155" i="10"/>
  <c r="U155" i="10"/>
  <c r="V155" i="10"/>
  <c r="W155" i="10"/>
  <c r="X155" i="10"/>
  <c r="H156" i="10"/>
  <c r="I156" i="10"/>
  <c r="J156" i="10"/>
  <c r="K156" i="10"/>
  <c r="L156" i="10"/>
  <c r="M156" i="10"/>
  <c r="N156" i="10"/>
  <c r="O156" i="10"/>
  <c r="P156" i="10"/>
  <c r="Q156" i="10"/>
  <c r="R156" i="10"/>
  <c r="S156" i="10"/>
  <c r="T156" i="10"/>
  <c r="U156" i="10"/>
  <c r="V156" i="10"/>
  <c r="W156" i="10"/>
  <c r="X156" i="10"/>
  <c r="H157" i="10"/>
  <c r="I157" i="10"/>
  <c r="J157" i="10"/>
  <c r="K157" i="10"/>
  <c r="L157" i="10"/>
  <c r="M157" i="10"/>
  <c r="N157" i="10"/>
  <c r="O157" i="10"/>
  <c r="P157" i="10"/>
  <c r="Q157" i="10"/>
  <c r="R157" i="10"/>
  <c r="S157" i="10"/>
  <c r="T157" i="10"/>
  <c r="U157" i="10"/>
  <c r="V157" i="10"/>
  <c r="W157" i="10"/>
  <c r="X157" i="10"/>
  <c r="G155" i="10"/>
  <c r="G156" i="10"/>
  <c r="G157" i="10"/>
  <c r="G154" i="10"/>
  <c r="H153" i="10"/>
  <c r="I153" i="10"/>
  <c r="J153" i="10"/>
  <c r="K153" i="10"/>
  <c r="L153" i="10"/>
  <c r="M153" i="10"/>
  <c r="N153" i="10"/>
  <c r="O153" i="10"/>
  <c r="P153" i="10"/>
  <c r="Q153" i="10"/>
  <c r="R153" i="10"/>
  <c r="S153" i="10"/>
  <c r="T153" i="10"/>
  <c r="U153" i="10"/>
  <c r="V153" i="10"/>
  <c r="W153" i="10"/>
  <c r="X153" i="10"/>
  <c r="U63" i="5" s="1"/>
  <c r="U76" i="5" s="1"/>
  <c r="G153" i="10"/>
  <c r="H149" i="10"/>
  <c r="I149" i="10"/>
  <c r="J149" i="10"/>
  <c r="K149" i="10"/>
  <c r="L149" i="10"/>
  <c r="M149" i="10"/>
  <c r="N149" i="10"/>
  <c r="O149" i="10"/>
  <c r="P149" i="10"/>
  <c r="Q149" i="10"/>
  <c r="R149" i="10"/>
  <c r="S149" i="10"/>
  <c r="T149" i="10"/>
  <c r="U149" i="10"/>
  <c r="V149" i="10"/>
  <c r="W149" i="10"/>
  <c r="X149" i="10"/>
  <c r="H150" i="10"/>
  <c r="I150" i="10"/>
  <c r="J150" i="10"/>
  <c r="K150" i="10"/>
  <c r="L150" i="10"/>
  <c r="M150" i="10"/>
  <c r="N150" i="10"/>
  <c r="O150" i="10"/>
  <c r="P150" i="10"/>
  <c r="Q150" i="10"/>
  <c r="R150" i="10"/>
  <c r="S150" i="10"/>
  <c r="T150" i="10"/>
  <c r="U150" i="10"/>
  <c r="V150" i="10"/>
  <c r="W150" i="10"/>
  <c r="X150" i="10"/>
  <c r="H151" i="10"/>
  <c r="I151" i="10"/>
  <c r="J151" i="10"/>
  <c r="K151" i="10"/>
  <c r="L151" i="10"/>
  <c r="M151" i="10"/>
  <c r="N151" i="10"/>
  <c r="O151" i="10"/>
  <c r="P151" i="10"/>
  <c r="Q151" i="10"/>
  <c r="R151" i="10"/>
  <c r="S151" i="10"/>
  <c r="T151" i="10"/>
  <c r="U151" i="10"/>
  <c r="V151" i="10"/>
  <c r="W151" i="10"/>
  <c r="X151" i="10"/>
  <c r="H152" i="10"/>
  <c r="I152" i="10"/>
  <c r="J152" i="10"/>
  <c r="K152" i="10"/>
  <c r="L152" i="10"/>
  <c r="M152" i="10"/>
  <c r="N152" i="10"/>
  <c r="O152" i="10"/>
  <c r="P152" i="10"/>
  <c r="Q152" i="10"/>
  <c r="R152" i="10"/>
  <c r="S152" i="10"/>
  <c r="T152" i="10"/>
  <c r="U152" i="10"/>
  <c r="V152" i="10"/>
  <c r="W152" i="10"/>
  <c r="X152" i="10"/>
  <c r="G150" i="10"/>
  <c r="G151" i="10"/>
  <c r="G152" i="10"/>
  <c r="G149" i="10"/>
  <c r="H148" i="10"/>
  <c r="I148" i="10"/>
  <c r="J148" i="10"/>
  <c r="K148" i="10"/>
  <c r="L148" i="10"/>
  <c r="M148" i="10"/>
  <c r="N148" i="10"/>
  <c r="O148" i="10"/>
  <c r="P148" i="10"/>
  <c r="Q148" i="10"/>
  <c r="R148" i="10"/>
  <c r="S148" i="10"/>
  <c r="T148" i="10"/>
  <c r="U148" i="10"/>
  <c r="V148" i="10"/>
  <c r="W148" i="10"/>
  <c r="X148" i="10"/>
  <c r="G148" i="10"/>
  <c r="H144" i="10"/>
  <c r="I144" i="10"/>
  <c r="J144" i="10"/>
  <c r="K144" i="10"/>
  <c r="L144" i="10"/>
  <c r="M144" i="10"/>
  <c r="N144" i="10"/>
  <c r="N164" i="10" s="1"/>
  <c r="O144" i="10"/>
  <c r="P144" i="10"/>
  <c r="Q144" i="10"/>
  <c r="R144" i="10"/>
  <c r="S144" i="10"/>
  <c r="T144" i="10"/>
  <c r="U144" i="10"/>
  <c r="V144" i="10"/>
  <c r="V164" i="10" s="1"/>
  <c r="W144" i="10"/>
  <c r="X144" i="10"/>
  <c r="H145" i="10"/>
  <c r="I145" i="10"/>
  <c r="J145" i="10"/>
  <c r="K145" i="10"/>
  <c r="L145" i="10"/>
  <c r="M145" i="10"/>
  <c r="M165" i="10" s="1"/>
  <c r="N145" i="10"/>
  <c r="O145" i="10"/>
  <c r="P145" i="10"/>
  <c r="Q145" i="10"/>
  <c r="R145" i="10"/>
  <c r="S145" i="10"/>
  <c r="T145" i="10"/>
  <c r="U145" i="10"/>
  <c r="U165" i="10" s="1"/>
  <c r="V145" i="10"/>
  <c r="W145" i="10"/>
  <c r="X145" i="10"/>
  <c r="H146" i="10"/>
  <c r="I146" i="10"/>
  <c r="J146" i="10"/>
  <c r="K146" i="10"/>
  <c r="L146" i="10"/>
  <c r="L166" i="10" s="1"/>
  <c r="M146" i="10"/>
  <c r="N146" i="10"/>
  <c r="O146" i="10"/>
  <c r="P146" i="10"/>
  <c r="Q146" i="10"/>
  <c r="R146" i="10"/>
  <c r="S146" i="10"/>
  <c r="T146" i="10"/>
  <c r="T166" i="10" s="1"/>
  <c r="U146" i="10"/>
  <c r="V146" i="10"/>
  <c r="W146" i="10"/>
  <c r="X146" i="10"/>
  <c r="H147" i="10"/>
  <c r="I147" i="10"/>
  <c r="J147" i="10"/>
  <c r="K147" i="10"/>
  <c r="K167" i="10" s="1"/>
  <c r="L147" i="10"/>
  <c r="M147" i="10"/>
  <c r="N147" i="10"/>
  <c r="O147" i="10"/>
  <c r="P147" i="10"/>
  <c r="Q147" i="10"/>
  <c r="R147" i="10"/>
  <c r="S147" i="10"/>
  <c r="S167" i="10" s="1"/>
  <c r="T147" i="10"/>
  <c r="U147" i="10"/>
  <c r="V147" i="10"/>
  <c r="W147" i="10"/>
  <c r="X147" i="10"/>
  <c r="G145" i="10"/>
  <c r="G146" i="10"/>
  <c r="G147" i="10"/>
  <c r="G167" i="10" s="1"/>
  <c r="G144" i="10"/>
  <c r="H143" i="10"/>
  <c r="I143" i="10"/>
  <c r="J143" i="10"/>
  <c r="K143" i="10"/>
  <c r="L143" i="10"/>
  <c r="M143" i="10"/>
  <c r="N143" i="10"/>
  <c r="O143" i="10"/>
  <c r="P143" i="10"/>
  <c r="Q143" i="10"/>
  <c r="R143" i="10"/>
  <c r="S143" i="10"/>
  <c r="T143" i="10"/>
  <c r="U143" i="10"/>
  <c r="V143" i="10"/>
  <c r="W143" i="10"/>
  <c r="X143" i="10"/>
  <c r="G143" i="10"/>
  <c r="H138" i="10"/>
  <c r="I138" i="10"/>
  <c r="J138" i="10"/>
  <c r="K138" i="10"/>
  <c r="L138" i="10"/>
  <c r="M138" i="10"/>
  <c r="N138" i="10"/>
  <c r="O138" i="10"/>
  <c r="P138" i="10"/>
  <c r="Q138" i="10"/>
  <c r="R138" i="10"/>
  <c r="S138" i="10"/>
  <c r="T138" i="10"/>
  <c r="U138" i="10"/>
  <c r="V138" i="10"/>
  <c r="W138" i="10"/>
  <c r="X138" i="10"/>
  <c r="H139" i="10"/>
  <c r="I139" i="10"/>
  <c r="J139" i="10"/>
  <c r="K139" i="10"/>
  <c r="L139" i="10"/>
  <c r="M139" i="10"/>
  <c r="N139" i="10"/>
  <c r="O139" i="10"/>
  <c r="P139" i="10"/>
  <c r="Q139" i="10"/>
  <c r="R139" i="10"/>
  <c r="S139" i="10"/>
  <c r="T139" i="10"/>
  <c r="U139" i="10"/>
  <c r="V139" i="10"/>
  <c r="W139" i="10"/>
  <c r="X139" i="10"/>
  <c r="H140" i="10"/>
  <c r="I140" i="10"/>
  <c r="J140" i="10"/>
  <c r="K140" i="10"/>
  <c r="L140" i="10"/>
  <c r="M140" i="10"/>
  <c r="N140" i="10"/>
  <c r="O140" i="10"/>
  <c r="P140" i="10"/>
  <c r="Q140" i="10"/>
  <c r="R140" i="10"/>
  <c r="S140" i="10"/>
  <c r="T140" i="10"/>
  <c r="U140" i="10"/>
  <c r="V140" i="10"/>
  <c r="W140" i="10"/>
  <c r="X140" i="10"/>
  <c r="H141" i="10"/>
  <c r="I141" i="10"/>
  <c r="J141" i="10"/>
  <c r="K141" i="10"/>
  <c r="L141" i="10"/>
  <c r="M141" i="10"/>
  <c r="N141" i="10"/>
  <c r="O141" i="10"/>
  <c r="P141" i="10"/>
  <c r="Q141" i="10"/>
  <c r="R141" i="10"/>
  <c r="S141" i="10"/>
  <c r="T141" i="10"/>
  <c r="U141" i="10"/>
  <c r="V141" i="10"/>
  <c r="W141" i="10"/>
  <c r="X141" i="10"/>
  <c r="H142" i="10"/>
  <c r="I142" i="10"/>
  <c r="J142" i="10"/>
  <c r="K142" i="10"/>
  <c r="L142" i="10"/>
  <c r="M142" i="10"/>
  <c r="N142" i="10"/>
  <c r="O142" i="10"/>
  <c r="P142" i="10"/>
  <c r="Q142" i="10"/>
  <c r="R142" i="10"/>
  <c r="S142" i="10"/>
  <c r="T142" i="10"/>
  <c r="U142" i="10"/>
  <c r="V142" i="10"/>
  <c r="W142" i="10"/>
  <c r="X142" i="10"/>
  <c r="G139" i="10"/>
  <c r="G140" i="10"/>
  <c r="G141" i="10"/>
  <c r="G142" i="10"/>
  <c r="G138" i="10"/>
  <c r="K93" i="16"/>
  <c r="L93" i="16"/>
  <c r="M93" i="16"/>
  <c r="N93" i="16"/>
  <c r="O93" i="16"/>
  <c r="O59" i="3" l="1"/>
  <c r="S30" i="13"/>
  <c r="T30" i="13" s="1"/>
  <c r="U30" i="13" s="1"/>
  <c r="V30" i="13" s="1"/>
  <c r="W30" i="13" s="1"/>
  <c r="X30" i="13" s="1"/>
  <c r="Y30" i="13" s="1"/>
  <c r="Y165" i="10"/>
  <c r="I60" i="3" s="1"/>
  <c r="D60" i="3"/>
  <c r="V63" i="5"/>
  <c r="V76" i="5" s="1"/>
  <c r="D52" i="1"/>
  <c r="G164" i="10"/>
  <c r="T167" i="10"/>
  <c r="L167" i="10"/>
  <c r="U166" i="10"/>
  <c r="M166" i="10"/>
  <c r="V165" i="10"/>
  <c r="N165" i="10"/>
  <c r="W164" i="10"/>
  <c r="O164" i="10"/>
  <c r="Y166" i="10"/>
  <c r="I61" i="3" s="1"/>
  <c r="F63" i="3"/>
  <c r="N174" i="10"/>
  <c r="X167" i="10"/>
  <c r="P167" i="10"/>
  <c r="H167" i="10"/>
  <c r="Q166" i="10"/>
  <c r="I166" i="10"/>
  <c r="R165" i="10"/>
  <c r="J165" i="10"/>
  <c r="S164" i="10"/>
  <c r="K164" i="10"/>
  <c r="Y167" i="10"/>
  <c r="I62" i="3" s="1"/>
  <c r="D62" i="3"/>
  <c r="Z174" i="10"/>
  <c r="AA174" i="10"/>
  <c r="Q174" i="10"/>
  <c r="X174" i="10"/>
  <c r="Y174" i="10"/>
  <c r="W167" i="10"/>
  <c r="O167" i="10"/>
  <c r="X166" i="10"/>
  <c r="P166" i="10"/>
  <c r="H166" i="10"/>
  <c r="Q165" i="10"/>
  <c r="I165" i="10"/>
  <c r="R164" i="10"/>
  <c r="J164" i="10"/>
  <c r="Y129" i="10"/>
  <c r="I71" i="3" s="1"/>
  <c r="F71" i="3"/>
  <c r="F75" i="3" s="1"/>
  <c r="Y132" i="10"/>
  <c r="I74" i="3" s="1"/>
  <c r="D74" i="3"/>
  <c r="Y130" i="10"/>
  <c r="I72" i="3" s="1"/>
  <c r="Y131" i="10"/>
  <c r="I73" i="3" s="1"/>
  <c r="F73" i="3"/>
  <c r="G166" i="10"/>
  <c r="R167" i="10"/>
  <c r="J167" i="10"/>
  <c r="O166" i="10"/>
  <c r="V167" i="10"/>
  <c r="N167" i="10"/>
  <c r="W166" i="10"/>
  <c r="S166" i="10"/>
  <c r="K166" i="10"/>
  <c r="X165" i="10"/>
  <c r="T165" i="10"/>
  <c r="P165" i="10"/>
  <c r="L165" i="10"/>
  <c r="H165" i="10"/>
  <c r="U164" i="10"/>
  <c r="Q164" i="10"/>
  <c r="M164" i="10"/>
  <c r="I164" i="10"/>
  <c r="G165" i="10"/>
  <c r="U167" i="10"/>
  <c r="Q167" i="10"/>
  <c r="M167" i="10"/>
  <c r="I167" i="10"/>
  <c r="V166" i="10"/>
  <c r="R166" i="10"/>
  <c r="N166" i="10"/>
  <c r="J166" i="10"/>
  <c r="W165" i="10"/>
  <c r="S165" i="10"/>
  <c r="O165" i="10"/>
  <c r="K165" i="10"/>
  <c r="X164" i="10"/>
  <c r="T164" i="10"/>
  <c r="P164" i="10"/>
  <c r="L164" i="10"/>
  <c r="H164" i="10"/>
  <c r="Y164" i="10"/>
  <c r="X103" i="10"/>
  <c r="X104" i="10"/>
  <c r="X105" i="10"/>
  <c r="X106" i="10"/>
  <c r="X107" i="10"/>
  <c r="X108" i="10"/>
  <c r="X109" i="10"/>
  <c r="X110" i="10"/>
  <c r="X111" i="10"/>
  <c r="X112" i="10"/>
  <c r="X113" i="10"/>
  <c r="X114" i="10"/>
  <c r="X115" i="10"/>
  <c r="X116" i="10"/>
  <c r="X117" i="10"/>
  <c r="X118" i="10"/>
  <c r="X119" i="10"/>
  <c r="X120" i="10"/>
  <c r="X121" i="10"/>
  <c r="X122" i="10"/>
  <c r="X123" i="10"/>
  <c r="X124" i="10"/>
  <c r="X125" i="10"/>
  <c r="X126" i="10"/>
  <c r="X127" i="10"/>
  <c r="X93" i="9"/>
  <c r="X94" i="9"/>
  <c r="X95" i="9"/>
  <c r="X96" i="9"/>
  <c r="X97" i="9"/>
  <c r="X98" i="9"/>
  <c r="X99" i="9"/>
  <c r="X100" i="9"/>
  <c r="X101" i="9"/>
  <c r="X102" i="9"/>
  <c r="X103" i="9"/>
  <c r="X104" i="9"/>
  <c r="X105" i="9"/>
  <c r="X120" i="9" s="1"/>
  <c r="X106" i="9"/>
  <c r="X107" i="9"/>
  <c r="X108" i="9"/>
  <c r="X109" i="9"/>
  <c r="X110" i="9"/>
  <c r="X111" i="9"/>
  <c r="X112" i="9"/>
  <c r="X113" i="9"/>
  <c r="X114" i="9"/>
  <c r="X115" i="9"/>
  <c r="X116" i="9"/>
  <c r="X117" i="9"/>
  <c r="X83" i="9"/>
  <c r="X84" i="9"/>
  <c r="X85" i="9"/>
  <c r="X86" i="9"/>
  <c r="X87" i="9"/>
  <c r="D63" i="3" l="1"/>
  <c r="I54" i="1"/>
  <c r="X131" i="10"/>
  <c r="X128" i="10"/>
  <c r="X129" i="10"/>
  <c r="P62" i="3"/>
  <c r="O62" i="3"/>
  <c r="X130" i="10"/>
  <c r="X132" i="10"/>
  <c r="P60" i="3"/>
  <c r="O61" i="3"/>
  <c r="O60" i="3"/>
  <c r="P61" i="3"/>
  <c r="X121" i="9"/>
  <c r="X122" i="9"/>
  <c r="X118" i="9"/>
  <c r="X119" i="9"/>
  <c r="H58" i="14"/>
  <c r="G58" i="14"/>
  <c r="H54" i="14"/>
  <c r="H55" i="14"/>
  <c r="H56" i="14"/>
  <c r="H57" i="14"/>
  <c r="G57" i="14"/>
  <c r="G56" i="14"/>
  <c r="G55" i="14"/>
  <c r="G54" i="14"/>
  <c r="D58" i="14"/>
  <c r="E58" i="14" s="1"/>
  <c r="D57" i="14"/>
  <c r="D56" i="14"/>
  <c r="D55" i="14"/>
  <c r="D54" i="14"/>
  <c r="E54" i="14" l="1"/>
  <c r="G60" i="14"/>
  <c r="H60" i="14"/>
  <c r="E56" i="14"/>
  <c r="E55" i="14"/>
  <c r="E57" i="14"/>
  <c r="T57" i="5"/>
  <c r="T56" i="5"/>
  <c r="T55" i="5"/>
  <c r="T54" i="5"/>
  <c r="D167" i="10"/>
  <c r="C167" i="10"/>
  <c r="D166" i="10"/>
  <c r="C166" i="10"/>
  <c r="D165" i="10"/>
  <c r="C165" i="10"/>
  <c r="D164" i="10"/>
  <c r="C164" i="10"/>
  <c r="D163" i="10"/>
  <c r="C163" i="10"/>
  <c r="F127" i="10"/>
  <c r="F162" i="10" s="1"/>
  <c r="E127" i="10"/>
  <c r="E162" i="10" s="1"/>
  <c r="D127" i="10"/>
  <c r="D162" i="10" s="1"/>
  <c r="C127" i="10"/>
  <c r="C162" i="10" s="1"/>
  <c r="F126" i="10"/>
  <c r="F161" i="10" s="1"/>
  <c r="E126" i="10"/>
  <c r="E161" i="10" s="1"/>
  <c r="D126" i="10"/>
  <c r="D161" i="10" s="1"/>
  <c r="C126" i="10"/>
  <c r="C161" i="10" s="1"/>
  <c r="F125" i="10"/>
  <c r="F160" i="10" s="1"/>
  <c r="E125" i="10"/>
  <c r="E160" i="10" s="1"/>
  <c r="D125" i="10"/>
  <c r="D160" i="10" s="1"/>
  <c r="C125" i="10"/>
  <c r="C160" i="10" s="1"/>
  <c r="F124" i="10"/>
  <c r="F159" i="10" s="1"/>
  <c r="E124" i="10"/>
  <c r="E159" i="10" s="1"/>
  <c r="D124" i="10"/>
  <c r="D159" i="10" s="1"/>
  <c r="C124" i="10"/>
  <c r="C159" i="10" s="1"/>
  <c r="F123" i="10"/>
  <c r="F158" i="10" s="1"/>
  <c r="E123" i="10"/>
  <c r="E158" i="10" s="1"/>
  <c r="D123" i="10"/>
  <c r="D158" i="10" s="1"/>
  <c r="C123" i="10"/>
  <c r="C158" i="10" s="1"/>
  <c r="F122" i="10"/>
  <c r="F157" i="10" s="1"/>
  <c r="E122" i="10"/>
  <c r="E157" i="10" s="1"/>
  <c r="D122" i="10"/>
  <c r="D157" i="10" s="1"/>
  <c r="C122" i="10"/>
  <c r="C157" i="10" s="1"/>
  <c r="F121" i="10"/>
  <c r="F156" i="10" s="1"/>
  <c r="E121" i="10"/>
  <c r="E156" i="10" s="1"/>
  <c r="D121" i="10"/>
  <c r="D156" i="10" s="1"/>
  <c r="C121" i="10"/>
  <c r="C156" i="10" s="1"/>
  <c r="F120" i="10"/>
  <c r="F155" i="10" s="1"/>
  <c r="E120" i="10"/>
  <c r="E155" i="10" s="1"/>
  <c r="D120" i="10"/>
  <c r="D155" i="10" s="1"/>
  <c r="C120" i="10"/>
  <c r="C155" i="10" s="1"/>
  <c r="F119" i="10"/>
  <c r="F154" i="10" s="1"/>
  <c r="E119" i="10"/>
  <c r="E154" i="10" s="1"/>
  <c r="D119" i="10"/>
  <c r="D154" i="10" s="1"/>
  <c r="C119" i="10"/>
  <c r="C154" i="10" s="1"/>
  <c r="F118" i="10"/>
  <c r="F153" i="10" s="1"/>
  <c r="E118" i="10"/>
  <c r="E153" i="10" s="1"/>
  <c r="D118" i="10"/>
  <c r="D153" i="10" s="1"/>
  <c r="C118" i="10"/>
  <c r="C153" i="10" s="1"/>
  <c r="F117" i="10"/>
  <c r="F152" i="10" s="1"/>
  <c r="E117" i="10"/>
  <c r="E152" i="10" s="1"/>
  <c r="D117" i="10"/>
  <c r="D152" i="10" s="1"/>
  <c r="C117" i="10"/>
  <c r="C152" i="10" s="1"/>
  <c r="F116" i="10"/>
  <c r="F151" i="10" s="1"/>
  <c r="E116" i="10"/>
  <c r="E151" i="10" s="1"/>
  <c r="D116" i="10"/>
  <c r="D151" i="10" s="1"/>
  <c r="C116" i="10"/>
  <c r="C151" i="10" s="1"/>
  <c r="F115" i="10"/>
  <c r="F150" i="10" s="1"/>
  <c r="E115" i="10"/>
  <c r="E150" i="10" s="1"/>
  <c r="D115" i="10"/>
  <c r="D150" i="10" s="1"/>
  <c r="C115" i="10"/>
  <c r="C150" i="10" s="1"/>
  <c r="F114" i="10"/>
  <c r="F149" i="10" s="1"/>
  <c r="E114" i="10"/>
  <c r="E149" i="10" s="1"/>
  <c r="D114" i="10"/>
  <c r="D149" i="10" s="1"/>
  <c r="C114" i="10"/>
  <c r="C149" i="10" s="1"/>
  <c r="F113" i="10"/>
  <c r="F148" i="10" s="1"/>
  <c r="E113" i="10"/>
  <c r="E148" i="10" s="1"/>
  <c r="D113" i="10"/>
  <c r="D148" i="10" s="1"/>
  <c r="C113" i="10"/>
  <c r="C148" i="10" s="1"/>
  <c r="F112" i="10"/>
  <c r="F147" i="10" s="1"/>
  <c r="E112" i="10"/>
  <c r="E147" i="10" s="1"/>
  <c r="D112" i="10"/>
  <c r="D147" i="10" s="1"/>
  <c r="C112" i="10"/>
  <c r="C147" i="10" s="1"/>
  <c r="F111" i="10"/>
  <c r="F146" i="10" s="1"/>
  <c r="E111" i="10"/>
  <c r="E146" i="10" s="1"/>
  <c r="D111" i="10"/>
  <c r="D146" i="10" s="1"/>
  <c r="C111" i="10"/>
  <c r="C146" i="10" s="1"/>
  <c r="F110" i="10"/>
  <c r="F145" i="10" s="1"/>
  <c r="E110" i="10"/>
  <c r="E145" i="10" s="1"/>
  <c r="D110" i="10"/>
  <c r="D145" i="10" s="1"/>
  <c r="C110" i="10"/>
  <c r="C145" i="10" s="1"/>
  <c r="F109" i="10"/>
  <c r="F144" i="10" s="1"/>
  <c r="E109" i="10"/>
  <c r="E144" i="10" s="1"/>
  <c r="D109" i="10"/>
  <c r="D144" i="10" s="1"/>
  <c r="C109" i="10"/>
  <c r="C144" i="10" s="1"/>
  <c r="F108" i="10"/>
  <c r="F143" i="10" s="1"/>
  <c r="E108" i="10"/>
  <c r="E143" i="10" s="1"/>
  <c r="D108" i="10"/>
  <c r="D143" i="10" s="1"/>
  <c r="C108" i="10"/>
  <c r="C143" i="10" s="1"/>
  <c r="F107" i="10"/>
  <c r="F142" i="10" s="1"/>
  <c r="E107" i="10"/>
  <c r="E132" i="10" s="1"/>
  <c r="E167" i="10" s="1"/>
  <c r="D107" i="10"/>
  <c r="D142" i="10" s="1"/>
  <c r="C107" i="10"/>
  <c r="C142" i="10" s="1"/>
  <c r="F106" i="10"/>
  <c r="F131" i="10" s="1"/>
  <c r="F166" i="10" s="1"/>
  <c r="E106" i="10"/>
  <c r="E141" i="10" s="1"/>
  <c r="D106" i="10"/>
  <c r="D141" i="10" s="1"/>
  <c r="C106" i="10"/>
  <c r="C141" i="10" s="1"/>
  <c r="F105" i="10"/>
  <c r="F140" i="10" s="1"/>
  <c r="E105" i="10"/>
  <c r="E130" i="10" s="1"/>
  <c r="E165" i="10" s="1"/>
  <c r="D105" i="10"/>
  <c r="D140" i="10" s="1"/>
  <c r="C105" i="10"/>
  <c r="C140" i="10" s="1"/>
  <c r="F104" i="10"/>
  <c r="F139" i="10" s="1"/>
  <c r="E104" i="10"/>
  <c r="E129" i="10" s="1"/>
  <c r="E164" i="10" s="1"/>
  <c r="D104" i="10"/>
  <c r="D139" i="10" s="1"/>
  <c r="C104" i="10"/>
  <c r="C139" i="10" s="1"/>
  <c r="F103" i="10"/>
  <c r="F138" i="10" s="1"/>
  <c r="E103" i="10"/>
  <c r="E138" i="10" s="1"/>
  <c r="D103" i="10"/>
  <c r="D138" i="10" s="1"/>
  <c r="C103" i="10"/>
  <c r="C138" i="10" s="1"/>
  <c r="W103" i="10"/>
  <c r="W104" i="10"/>
  <c r="W105" i="10"/>
  <c r="W106" i="10"/>
  <c r="W107" i="10"/>
  <c r="W108" i="10"/>
  <c r="W109" i="10"/>
  <c r="W110" i="10"/>
  <c r="W111" i="10"/>
  <c r="W112" i="10"/>
  <c r="W113" i="10"/>
  <c r="W114" i="10"/>
  <c r="W115" i="10"/>
  <c r="W116" i="10"/>
  <c r="W117" i="10"/>
  <c r="W118" i="10"/>
  <c r="T63" i="5" s="1"/>
  <c r="W119" i="10"/>
  <c r="W120" i="10"/>
  <c r="W121" i="10"/>
  <c r="W122" i="10"/>
  <c r="W123" i="10"/>
  <c r="W124" i="10"/>
  <c r="W125" i="10"/>
  <c r="W126" i="10"/>
  <c r="W127" i="10"/>
  <c r="O318" i="16"/>
  <c r="N318" i="16"/>
  <c r="M318" i="16"/>
  <c r="L318" i="16"/>
  <c r="K318" i="16"/>
  <c r="O243" i="16"/>
  <c r="N243" i="16"/>
  <c r="M243" i="16"/>
  <c r="L243" i="16"/>
  <c r="K243" i="16"/>
  <c r="O168" i="16"/>
  <c r="N168" i="16"/>
  <c r="M168" i="16"/>
  <c r="L168" i="16"/>
  <c r="K168" i="16"/>
  <c r="O317" i="16"/>
  <c r="N317" i="16"/>
  <c r="M317" i="16"/>
  <c r="L317" i="16"/>
  <c r="K317" i="16"/>
  <c r="O316" i="16"/>
  <c r="N316" i="16"/>
  <c r="M316" i="16"/>
  <c r="L316" i="16"/>
  <c r="O242" i="16"/>
  <c r="N242" i="16"/>
  <c r="M242" i="16"/>
  <c r="L242" i="16"/>
  <c r="K242" i="16"/>
  <c r="O241" i="16"/>
  <c r="N241" i="16"/>
  <c r="M241" i="16"/>
  <c r="L241" i="16"/>
  <c r="O167" i="16"/>
  <c r="N167" i="16"/>
  <c r="M167" i="16"/>
  <c r="L167" i="16"/>
  <c r="K167" i="16"/>
  <c r="O166" i="16"/>
  <c r="N166" i="16"/>
  <c r="M166" i="16"/>
  <c r="L166" i="16"/>
  <c r="O92" i="16"/>
  <c r="N92" i="16"/>
  <c r="M92" i="16"/>
  <c r="L92" i="16"/>
  <c r="K92" i="16"/>
  <c r="O91" i="16"/>
  <c r="N91" i="16"/>
  <c r="M91" i="16"/>
  <c r="L91" i="16"/>
  <c r="O17" i="16"/>
  <c r="O16" i="16"/>
  <c r="N17" i="16"/>
  <c r="N16" i="16"/>
  <c r="M17" i="16"/>
  <c r="M16" i="16"/>
  <c r="L17" i="16"/>
  <c r="L16" i="16"/>
  <c r="K17" i="16"/>
  <c r="K312" i="16"/>
  <c r="L312" i="16"/>
  <c r="K313" i="16"/>
  <c r="L313" i="16"/>
  <c r="K314" i="16"/>
  <c r="L314" i="16"/>
  <c r="L311" i="16"/>
  <c r="K311" i="16"/>
  <c r="K237" i="16"/>
  <c r="L237" i="16"/>
  <c r="K238" i="16"/>
  <c r="L238" i="16"/>
  <c r="K239" i="16"/>
  <c r="L239" i="16"/>
  <c r="L236" i="16"/>
  <c r="K236" i="16"/>
  <c r="K162" i="16"/>
  <c r="L162" i="16"/>
  <c r="K163" i="16"/>
  <c r="L163" i="16"/>
  <c r="K164" i="16"/>
  <c r="L164" i="16"/>
  <c r="L161" i="16"/>
  <c r="K161" i="16"/>
  <c r="K87" i="16"/>
  <c r="L87" i="16"/>
  <c r="K88" i="16"/>
  <c r="L88" i="16"/>
  <c r="K89" i="16"/>
  <c r="L89" i="16"/>
  <c r="L86" i="16"/>
  <c r="K86" i="16"/>
  <c r="K12" i="16"/>
  <c r="L12" i="16"/>
  <c r="K13" i="16"/>
  <c r="L13" i="16"/>
  <c r="K14" i="16"/>
  <c r="L14" i="16"/>
  <c r="L11" i="16"/>
  <c r="K11" i="16"/>
  <c r="W93" i="9"/>
  <c r="W94" i="9"/>
  <c r="W95" i="9"/>
  <c r="W96" i="9"/>
  <c r="W97" i="9"/>
  <c r="W98" i="9"/>
  <c r="W99" i="9"/>
  <c r="W100" i="9"/>
  <c r="W101" i="9"/>
  <c r="W102" i="9"/>
  <c r="W103" i="9"/>
  <c r="W104" i="9"/>
  <c r="W119" i="9" s="1"/>
  <c r="W105" i="9"/>
  <c r="W106" i="9"/>
  <c r="W107" i="9"/>
  <c r="W108" i="9"/>
  <c r="W109" i="9"/>
  <c r="W110" i="9"/>
  <c r="W111" i="9"/>
  <c r="W112" i="9"/>
  <c r="W113" i="9"/>
  <c r="W114" i="9"/>
  <c r="W115" i="9"/>
  <c r="W116" i="9"/>
  <c r="W117" i="9"/>
  <c r="W83" i="9"/>
  <c r="W84" i="9"/>
  <c r="W85" i="9"/>
  <c r="W86" i="9"/>
  <c r="W87" i="9"/>
  <c r="W120" i="9" l="1"/>
  <c r="T69" i="5"/>
  <c r="T76" i="5"/>
  <c r="W130" i="10"/>
  <c r="W131" i="10"/>
  <c r="W122" i="9"/>
  <c r="W118" i="9"/>
  <c r="F129" i="10"/>
  <c r="F164" i="10" s="1"/>
  <c r="E131" i="10"/>
  <c r="E166" i="10" s="1"/>
  <c r="E128" i="10"/>
  <c r="E163" i="10" s="1"/>
  <c r="F132" i="10"/>
  <c r="F167" i="10" s="1"/>
  <c r="F130" i="10"/>
  <c r="F165" i="10" s="1"/>
  <c r="E139" i="10"/>
  <c r="E140" i="10"/>
  <c r="E142" i="10"/>
  <c r="F128" i="10"/>
  <c r="F163" i="10" s="1"/>
  <c r="F141" i="10"/>
  <c r="W129" i="10"/>
  <c r="W132" i="10"/>
  <c r="W128" i="10"/>
  <c r="W121" i="9"/>
  <c r="E7" i="17"/>
  <c r="D35" i="17" l="1"/>
  <c r="E35" i="17"/>
  <c r="F35" i="17"/>
  <c r="G35" i="17"/>
  <c r="D28" i="17"/>
  <c r="E28" i="17"/>
  <c r="F28" i="17"/>
  <c r="G28" i="17"/>
  <c r="E22" i="17"/>
  <c r="F22" i="17"/>
  <c r="G22" i="17"/>
  <c r="E23" i="17"/>
  <c r="F23" i="17"/>
  <c r="G23" i="17"/>
  <c r="E24" i="17"/>
  <c r="F24" i="17"/>
  <c r="G24" i="17"/>
  <c r="E25" i="17"/>
  <c r="F25" i="17"/>
  <c r="G25" i="17"/>
  <c r="E26" i="17"/>
  <c r="F26" i="17"/>
  <c r="G26" i="17"/>
  <c r="F21" i="17"/>
  <c r="G21" i="17"/>
  <c r="E21" i="17"/>
  <c r="D21" i="17"/>
  <c r="D22" i="17"/>
  <c r="D14" i="17"/>
  <c r="E14" i="17"/>
  <c r="F14" i="17"/>
  <c r="G14" i="17"/>
  <c r="F7" i="17"/>
  <c r="G7" i="17"/>
  <c r="D7" i="17"/>
  <c r="D8" i="17" l="1"/>
  <c r="E8" i="17"/>
  <c r="F8" i="17"/>
  <c r="G8" i="17"/>
  <c r="E37" i="17"/>
  <c r="F37" i="17"/>
  <c r="G37" i="17"/>
  <c r="E38" i="17"/>
  <c r="F38" i="17"/>
  <c r="G38" i="17"/>
  <c r="E39" i="17"/>
  <c r="F39" i="17"/>
  <c r="G39" i="17"/>
  <c r="E40" i="17"/>
  <c r="F40" i="17"/>
  <c r="G40" i="17"/>
  <c r="F36" i="17"/>
  <c r="G36" i="17"/>
  <c r="E36" i="17"/>
  <c r="D37" i="17"/>
  <c r="D38" i="17"/>
  <c r="D39" i="17"/>
  <c r="D40" i="17"/>
  <c r="D36" i="17"/>
  <c r="E30" i="17"/>
  <c r="F30" i="17"/>
  <c r="G30" i="17"/>
  <c r="E31" i="17"/>
  <c r="F31" i="17"/>
  <c r="G31" i="17"/>
  <c r="E32" i="17"/>
  <c r="F32" i="17"/>
  <c r="G32" i="17"/>
  <c r="E33" i="17"/>
  <c r="F33" i="17"/>
  <c r="G33" i="17"/>
  <c r="F29" i="17"/>
  <c r="G29" i="17"/>
  <c r="E29" i="17"/>
  <c r="D30" i="17"/>
  <c r="D31" i="17"/>
  <c r="D32" i="17"/>
  <c r="D33" i="17"/>
  <c r="D29" i="17"/>
  <c r="D23" i="17"/>
  <c r="D24" i="17"/>
  <c r="D25" i="17"/>
  <c r="D26" i="17"/>
  <c r="E15" i="17"/>
  <c r="F15" i="17"/>
  <c r="G15" i="17"/>
  <c r="E16" i="17"/>
  <c r="F16" i="17"/>
  <c r="G16" i="17"/>
  <c r="E17" i="17"/>
  <c r="F17" i="17"/>
  <c r="G17" i="17"/>
  <c r="E18" i="17"/>
  <c r="F18" i="17"/>
  <c r="G18" i="17"/>
  <c r="E19" i="17"/>
  <c r="F19" i="17"/>
  <c r="G19" i="17"/>
  <c r="D16" i="17"/>
  <c r="D17" i="17"/>
  <c r="D18" i="17"/>
  <c r="D19" i="17"/>
  <c r="D15" i="17"/>
  <c r="D9" i="17"/>
  <c r="E9" i="17"/>
  <c r="F9" i="17"/>
  <c r="G9" i="17"/>
  <c r="D10" i="17"/>
  <c r="E10" i="17"/>
  <c r="F10" i="17"/>
  <c r="G10" i="17"/>
  <c r="D11" i="17"/>
  <c r="E11" i="17"/>
  <c r="F11" i="17"/>
  <c r="G11" i="17"/>
  <c r="D12" i="17"/>
  <c r="E12" i="17"/>
  <c r="F12" i="17"/>
  <c r="G12" i="17"/>
  <c r="E54" i="5" l="1"/>
  <c r="F54" i="5"/>
  <c r="G54" i="5"/>
  <c r="H54" i="5"/>
  <c r="I54" i="5"/>
  <c r="J54" i="5"/>
  <c r="K54" i="5"/>
  <c r="L54" i="5"/>
  <c r="M54" i="5"/>
  <c r="N54" i="5"/>
  <c r="O54" i="5"/>
  <c r="P54" i="5"/>
  <c r="Q54" i="5"/>
  <c r="R54" i="5"/>
  <c r="S54" i="5"/>
  <c r="E55" i="5"/>
  <c r="F55" i="5"/>
  <c r="G55" i="5"/>
  <c r="H55" i="5"/>
  <c r="I55" i="5"/>
  <c r="J55" i="5"/>
  <c r="K55" i="5"/>
  <c r="L55" i="5"/>
  <c r="M55" i="5"/>
  <c r="N55" i="5"/>
  <c r="O55" i="5"/>
  <c r="P55" i="5"/>
  <c r="Q55" i="5"/>
  <c r="R55" i="5"/>
  <c r="S55" i="5"/>
  <c r="E56" i="5"/>
  <c r="F56" i="5"/>
  <c r="G56" i="5"/>
  <c r="H56" i="5"/>
  <c r="I56" i="5"/>
  <c r="J56" i="5"/>
  <c r="K56" i="5"/>
  <c r="L56" i="5"/>
  <c r="M56" i="5"/>
  <c r="N56" i="5"/>
  <c r="O56" i="5"/>
  <c r="P56" i="5"/>
  <c r="Q56" i="5"/>
  <c r="R56" i="5"/>
  <c r="S56" i="5"/>
  <c r="E57" i="5"/>
  <c r="F57" i="5"/>
  <c r="G57" i="5"/>
  <c r="H57" i="5"/>
  <c r="I57" i="5"/>
  <c r="J57" i="5"/>
  <c r="K57" i="5"/>
  <c r="L57" i="5"/>
  <c r="M57" i="5"/>
  <c r="N57" i="5"/>
  <c r="O57" i="5"/>
  <c r="P57" i="5"/>
  <c r="Q57" i="5"/>
  <c r="R57" i="5"/>
  <c r="S57" i="5"/>
  <c r="D56" i="5"/>
  <c r="D57" i="5"/>
  <c r="D55" i="5"/>
  <c r="D54" i="5"/>
  <c r="G95" i="9"/>
  <c r="H95" i="9"/>
  <c r="I95" i="9"/>
  <c r="J95" i="9"/>
  <c r="K95" i="9"/>
  <c r="L95" i="9"/>
  <c r="M95" i="9"/>
  <c r="N95" i="9"/>
  <c r="O95" i="9"/>
  <c r="P95" i="9"/>
  <c r="Q95" i="9"/>
  <c r="R95" i="9"/>
  <c r="S95" i="9"/>
  <c r="T95" i="9"/>
  <c r="U95" i="9"/>
  <c r="V95" i="9"/>
  <c r="G96" i="9"/>
  <c r="H96" i="9"/>
  <c r="I96" i="9"/>
  <c r="J96" i="9"/>
  <c r="K96" i="9"/>
  <c r="L96" i="9"/>
  <c r="M96" i="9"/>
  <c r="N96" i="9"/>
  <c r="O96" i="9"/>
  <c r="P96" i="9"/>
  <c r="Q96" i="9"/>
  <c r="R96" i="9"/>
  <c r="S96" i="9"/>
  <c r="T96" i="9"/>
  <c r="U96" i="9"/>
  <c r="V96" i="9"/>
  <c r="G97" i="9"/>
  <c r="H97" i="9"/>
  <c r="I97" i="9"/>
  <c r="J97" i="9"/>
  <c r="K97" i="9"/>
  <c r="L97" i="9"/>
  <c r="M97" i="9"/>
  <c r="N97" i="9"/>
  <c r="O97" i="9"/>
  <c r="P97" i="9"/>
  <c r="Q97" i="9"/>
  <c r="R97" i="9"/>
  <c r="S97" i="9"/>
  <c r="T97" i="9"/>
  <c r="U97" i="9"/>
  <c r="V97" i="9"/>
  <c r="G98" i="9"/>
  <c r="H98" i="9"/>
  <c r="I98" i="9"/>
  <c r="J98" i="9"/>
  <c r="K98" i="9"/>
  <c r="L98" i="9"/>
  <c r="M98" i="9"/>
  <c r="N98" i="9"/>
  <c r="O98" i="9"/>
  <c r="P98" i="9"/>
  <c r="Q98" i="9"/>
  <c r="R98" i="9"/>
  <c r="S98" i="9"/>
  <c r="T98" i="9"/>
  <c r="U98" i="9"/>
  <c r="V98" i="9"/>
  <c r="G99" i="9"/>
  <c r="H99" i="9"/>
  <c r="I99" i="9"/>
  <c r="J99" i="9"/>
  <c r="K99" i="9"/>
  <c r="L99" i="9"/>
  <c r="M99" i="9"/>
  <c r="N99" i="9"/>
  <c r="O99" i="9"/>
  <c r="P99" i="9"/>
  <c r="Q99" i="9"/>
  <c r="R99" i="9"/>
  <c r="S99" i="9"/>
  <c r="T99" i="9"/>
  <c r="U99" i="9"/>
  <c r="V99" i="9"/>
  <c r="G100" i="9"/>
  <c r="H100" i="9"/>
  <c r="I100" i="9"/>
  <c r="J100" i="9"/>
  <c r="K100" i="9"/>
  <c r="L100" i="9"/>
  <c r="M100" i="9"/>
  <c r="N100" i="9"/>
  <c r="O100" i="9"/>
  <c r="P100" i="9"/>
  <c r="Q100" i="9"/>
  <c r="R100" i="9"/>
  <c r="S100" i="9"/>
  <c r="T100" i="9"/>
  <c r="U100" i="9"/>
  <c r="V100" i="9"/>
  <c r="G101" i="9"/>
  <c r="H101" i="9"/>
  <c r="I101" i="9"/>
  <c r="J101" i="9"/>
  <c r="K101" i="9"/>
  <c r="L101" i="9"/>
  <c r="M101" i="9"/>
  <c r="N101" i="9"/>
  <c r="O101" i="9"/>
  <c r="P101" i="9"/>
  <c r="Q101" i="9"/>
  <c r="R101" i="9"/>
  <c r="S101" i="9"/>
  <c r="T101" i="9"/>
  <c r="U101" i="9"/>
  <c r="V101" i="9"/>
  <c r="G102" i="9"/>
  <c r="H102" i="9"/>
  <c r="I102" i="9"/>
  <c r="J102" i="9"/>
  <c r="K102" i="9"/>
  <c r="L102" i="9"/>
  <c r="M102" i="9"/>
  <c r="N102" i="9"/>
  <c r="O102" i="9"/>
  <c r="P102" i="9"/>
  <c r="Q102" i="9"/>
  <c r="R102" i="9"/>
  <c r="S102" i="9"/>
  <c r="T102" i="9"/>
  <c r="U102" i="9"/>
  <c r="V102" i="9"/>
  <c r="G103" i="9"/>
  <c r="H103" i="9"/>
  <c r="I103" i="9"/>
  <c r="J103" i="9"/>
  <c r="K103" i="9"/>
  <c r="L103" i="9"/>
  <c r="M103" i="9"/>
  <c r="N103" i="9"/>
  <c r="O103" i="9"/>
  <c r="P103" i="9"/>
  <c r="Q103" i="9"/>
  <c r="R103" i="9"/>
  <c r="S103" i="9"/>
  <c r="T103" i="9"/>
  <c r="U103" i="9"/>
  <c r="V103" i="9"/>
  <c r="G104" i="9"/>
  <c r="H104" i="9"/>
  <c r="I104" i="9"/>
  <c r="J104" i="9"/>
  <c r="K104" i="9"/>
  <c r="L104" i="9"/>
  <c r="M104" i="9"/>
  <c r="N104" i="9"/>
  <c r="O104" i="9"/>
  <c r="P104" i="9"/>
  <c r="Q104" i="9"/>
  <c r="R104" i="9"/>
  <c r="S104" i="9"/>
  <c r="T104" i="9"/>
  <c r="U104" i="9"/>
  <c r="V104" i="9"/>
  <c r="G105" i="9"/>
  <c r="H105" i="9"/>
  <c r="I105" i="9"/>
  <c r="J105" i="9"/>
  <c r="K105" i="9"/>
  <c r="L105" i="9"/>
  <c r="M105" i="9"/>
  <c r="N105" i="9"/>
  <c r="O105" i="9"/>
  <c r="P105" i="9"/>
  <c r="Q105" i="9"/>
  <c r="R105" i="9"/>
  <c r="S105" i="9"/>
  <c r="T105" i="9"/>
  <c r="U105" i="9"/>
  <c r="V105" i="9"/>
  <c r="G106" i="9"/>
  <c r="H106" i="9"/>
  <c r="I106" i="9"/>
  <c r="J106" i="9"/>
  <c r="K106" i="9"/>
  <c r="L106" i="9"/>
  <c r="M106" i="9"/>
  <c r="N106" i="9"/>
  <c r="O106" i="9"/>
  <c r="P106" i="9"/>
  <c r="Q106" i="9"/>
  <c r="R106" i="9"/>
  <c r="S106" i="9"/>
  <c r="T106" i="9"/>
  <c r="U106" i="9"/>
  <c r="V106" i="9"/>
  <c r="G107" i="9"/>
  <c r="H107" i="9"/>
  <c r="I107" i="9"/>
  <c r="J107" i="9"/>
  <c r="K107" i="9"/>
  <c r="L107" i="9"/>
  <c r="M107" i="9"/>
  <c r="N107" i="9"/>
  <c r="O107" i="9"/>
  <c r="P107" i="9"/>
  <c r="Q107" i="9"/>
  <c r="R107" i="9"/>
  <c r="S107" i="9"/>
  <c r="T107" i="9"/>
  <c r="U107" i="9"/>
  <c r="V107" i="9"/>
  <c r="G108" i="9"/>
  <c r="H108" i="9"/>
  <c r="I108" i="9"/>
  <c r="J108" i="9"/>
  <c r="K108" i="9"/>
  <c r="L108" i="9"/>
  <c r="M108" i="9"/>
  <c r="N108" i="9"/>
  <c r="O108" i="9"/>
  <c r="P108" i="9"/>
  <c r="Q108" i="9"/>
  <c r="R108" i="9"/>
  <c r="S108" i="9"/>
  <c r="T108" i="9"/>
  <c r="U108" i="9"/>
  <c r="V108" i="9"/>
  <c r="G109" i="9"/>
  <c r="H109" i="9"/>
  <c r="I109" i="9"/>
  <c r="J109" i="9"/>
  <c r="K109" i="9"/>
  <c r="L109" i="9"/>
  <c r="M109" i="9"/>
  <c r="N109" i="9"/>
  <c r="O109" i="9"/>
  <c r="P109" i="9"/>
  <c r="Q109" i="9"/>
  <c r="R109" i="9"/>
  <c r="S109" i="9"/>
  <c r="T109" i="9"/>
  <c r="U109" i="9"/>
  <c r="V109" i="9"/>
  <c r="G110" i="9"/>
  <c r="H110" i="9"/>
  <c r="I110" i="9"/>
  <c r="J110" i="9"/>
  <c r="K110" i="9"/>
  <c r="L110" i="9"/>
  <c r="M110" i="9"/>
  <c r="N110" i="9"/>
  <c r="O110" i="9"/>
  <c r="P110" i="9"/>
  <c r="Q110" i="9"/>
  <c r="R110" i="9"/>
  <c r="S110" i="9"/>
  <c r="T110" i="9"/>
  <c r="U110" i="9"/>
  <c r="V110" i="9"/>
  <c r="G111" i="9"/>
  <c r="H111" i="9"/>
  <c r="I111" i="9"/>
  <c r="J111" i="9"/>
  <c r="K111" i="9"/>
  <c r="L111" i="9"/>
  <c r="M111" i="9"/>
  <c r="N111" i="9"/>
  <c r="O111" i="9"/>
  <c r="P111" i="9"/>
  <c r="Q111" i="9"/>
  <c r="R111" i="9"/>
  <c r="S111" i="9"/>
  <c r="T111" i="9"/>
  <c r="U111" i="9"/>
  <c r="V111" i="9"/>
  <c r="G112" i="9"/>
  <c r="H112" i="9"/>
  <c r="I112" i="9"/>
  <c r="J112" i="9"/>
  <c r="K112" i="9"/>
  <c r="L112" i="9"/>
  <c r="M112" i="9"/>
  <c r="N112" i="9"/>
  <c r="O112" i="9"/>
  <c r="P112" i="9"/>
  <c r="Q112" i="9"/>
  <c r="R112" i="9"/>
  <c r="S112" i="9"/>
  <c r="T112" i="9"/>
  <c r="U112" i="9"/>
  <c r="V112" i="9"/>
  <c r="G113" i="9"/>
  <c r="H113" i="9"/>
  <c r="I113" i="9"/>
  <c r="J113" i="9"/>
  <c r="K113" i="9"/>
  <c r="L113" i="9"/>
  <c r="M113" i="9"/>
  <c r="N113" i="9"/>
  <c r="O113" i="9"/>
  <c r="P113" i="9"/>
  <c r="Q113" i="9"/>
  <c r="R113" i="9"/>
  <c r="S113" i="9"/>
  <c r="T113" i="9"/>
  <c r="U113" i="9"/>
  <c r="V113" i="9"/>
  <c r="G114" i="9"/>
  <c r="H114" i="9"/>
  <c r="I114" i="9"/>
  <c r="J114" i="9"/>
  <c r="K114" i="9"/>
  <c r="L114" i="9"/>
  <c r="M114" i="9"/>
  <c r="N114" i="9"/>
  <c r="O114" i="9"/>
  <c r="P114" i="9"/>
  <c r="Q114" i="9"/>
  <c r="R114" i="9"/>
  <c r="S114" i="9"/>
  <c r="T114" i="9"/>
  <c r="U114" i="9"/>
  <c r="V114" i="9"/>
  <c r="G115" i="9"/>
  <c r="H115" i="9"/>
  <c r="I115" i="9"/>
  <c r="J115" i="9"/>
  <c r="K115" i="9"/>
  <c r="L115" i="9"/>
  <c r="M115" i="9"/>
  <c r="N115" i="9"/>
  <c r="O115" i="9"/>
  <c r="P115" i="9"/>
  <c r="Q115" i="9"/>
  <c r="R115" i="9"/>
  <c r="S115" i="9"/>
  <c r="T115" i="9"/>
  <c r="U115" i="9"/>
  <c r="V115" i="9"/>
  <c r="G116" i="9"/>
  <c r="H116" i="9"/>
  <c r="I116" i="9"/>
  <c r="J116" i="9"/>
  <c r="K116" i="9"/>
  <c r="L116" i="9"/>
  <c r="M116" i="9"/>
  <c r="N116" i="9"/>
  <c r="O116" i="9"/>
  <c r="P116" i="9"/>
  <c r="Q116" i="9"/>
  <c r="R116" i="9"/>
  <c r="S116" i="9"/>
  <c r="T116" i="9"/>
  <c r="U116" i="9"/>
  <c r="V116" i="9"/>
  <c r="G117" i="9"/>
  <c r="H117" i="9"/>
  <c r="I117" i="9"/>
  <c r="J117" i="9"/>
  <c r="K117" i="9"/>
  <c r="L117" i="9"/>
  <c r="M117" i="9"/>
  <c r="N117" i="9"/>
  <c r="O117" i="9"/>
  <c r="P117" i="9"/>
  <c r="Q117" i="9"/>
  <c r="R117" i="9"/>
  <c r="S117" i="9"/>
  <c r="T117" i="9"/>
  <c r="U117" i="9"/>
  <c r="V117" i="9"/>
  <c r="H94" i="9"/>
  <c r="I94" i="9"/>
  <c r="J94" i="9"/>
  <c r="K94" i="9"/>
  <c r="L94" i="9"/>
  <c r="M94" i="9"/>
  <c r="N94" i="9"/>
  <c r="O94" i="9"/>
  <c r="P94" i="9"/>
  <c r="Q94" i="9"/>
  <c r="R94" i="9"/>
  <c r="S94" i="9"/>
  <c r="T94" i="9"/>
  <c r="U94" i="9"/>
  <c r="V94" i="9"/>
  <c r="H93" i="9"/>
  <c r="I93" i="9"/>
  <c r="J93" i="9"/>
  <c r="K93" i="9"/>
  <c r="L93" i="9"/>
  <c r="M93" i="9"/>
  <c r="N93" i="9"/>
  <c r="O93" i="9"/>
  <c r="P93" i="9"/>
  <c r="Q93" i="9"/>
  <c r="R93" i="9"/>
  <c r="S93" i="9"/>
  <c r="T93" i="9"/>
  <c r="U93" i="9"/>
  <c r="V93" i="9"/>
  <c r="G94" i="9"/>
  <c r="G93" i="9"/>
  <c r="V83" i="9"/>
  <c r="V84" i="9"/>
  <c r="V85" i="9"/>
  <c r="V86" i="9"/>
  <c r="V87" i="9"/>
  <c r="V103" i="10"/>
  <c r="V104" i="10"/>
  <c r="V105" i="10"/>
  <c r="V106" i="10"/>
  <c r="V107" i="10"/>
  <c r="V108" i="10"/>
  <c r="V109" i="10"/>
  <c r="V110" i="10"/>
  <c r="V111" i="10"/>
  <c r="V112" i="10"/>
  <c r="V113" i="10"/>
  <c r="V114" i="10"/>
  <c r="V115" i="10"/>
  <c r="V116" i="10"/>
  <c r="V117" i="10"/>
  <c r="V118" i="10"/>
  <c r="S63" i="5" s="1"/>
  <c r="V119" i="10"/>
  <c r="V120" i="10"/>
  <c r="V121" i="10"/>
  <c r="V122" i="10"/>
  <c r="V123" i="10"/>
  <c r="V124" i="10"/>
  <c r="V125" i="10"/>
  <c r="V126" i="10"/>
  <c r="V127" i="10"/>
  <c r="V132" i="10" l="1"/>
  <c r="V130" i="10"/>
  <c r="S69" i="5"/>
  <c r="K69" i="5"/>
  <c r="O69" i="5"/>
  <c r="G69" i="5"/>
  <c r="N69" i="5"/>
  <c r="F69" i="5"/>
  <c r="M69" i="5"/>
  <c r="E69" i="5"/>
  <c r="D69" i="5"/>
  <c r="L69" i="5"/>
  <c r="R69" i="5"/>
  <c r="J69" i="5"/>
  <c r="S76" i="5"/>
  <c r="Q69" i="5"/>
  <c r="I69" i="5"/>
  <c r="P69" i="5"/>
  <c r="H69" i="5"/>
  <c r="M118" i="9"/>
  <c r="V128" i="10"/>
  <c r="R120" i="9"/>
  <c r="N119" i="9"/>
  <c r="V120" i="9"/>
  <c r="N120" i="9"/>
  <c r="J120" i="9"/>
  <c r="V119" i="9"/>
  <c r="R119" i="9"/>
  <c r="J119" i="9"/>
  <c r="U122" i="9"/>
  <c r="Q122" i="9"/>
  <c r="M122" i="9"/>
  <c r="I122" i="9"/>
  <c r="U119" i="9"/>
  <c r="Q119" i="9"/>
  <c r="M119" i="9"/>
  <c r="I119" i="9"/>
  <c r="U118" i="9"/>
  <c r="Q118" i="9"/>
  <c r="I118" i="9"/>
  <c r="G121" i="9"/>
  <c r="S120" i="9"/>
  <c r="O120" i="9"/>
  <c r="K120" i="9"/>
  <c r="V122" i="9"/>
  <c r="R122" i="9"/>
  <c r="N122" i="9"/>
  <c r="J122" i="9"/>
  <c r="V121" i="9"/>
  <c r="R121" i="9"/>
  <c r="N121" i="9"/>
  <c r="J121" i="9"/>
  <c r="V118" i="9"/>
  <c r="R118" i="9"/>
  <c r="N118" i="9"/>
  <c r="J118" i="9"/>
  <c r="U121" i="9"/>
  <c r="Q121" i="9"/>
  <c r="M121" i="9"/>
  <c r="I121" i="9"/>
  <c r="U120" i="9"/>
  <c r="Q120" i="9"/>
  <c r="M120" i="9"/>
  <c r="I120" i="9"/>
  <c r="T122" i="9"/>
  <c r="P122" i="9"/>
  <c r="L122" i="9"/>
  <c r="H122" i="9"/>
  <c r="T121" i="9"/>
  <c r="P121" i="9"/>
  <c r="L121" i="9"/>
  <c r="H121" i="9"/>
  <c r="T120" i="9"/>
  <c r="P120" i="9"/>
  <c r="L120" i="9"/>
  <c r="H120" i="9"/>
  <c r="T119" i="9"/>
  <c r="P119" i="9"/>
  <c r="L119" i="9"/>
  <c r="H119" i="9"/>
  <c r="T118" i="9"/>
  <c r="P118" i="9"/>
  <c r="L118" i="9"/>
  <c r="H118" i="9"/>
  <c r="S122" i="9"/>
  <c r="O122" i="9"/>
  <c r="K122" i="9"/>
  <c r="G122" i="9"/>
  <c r="S121" i="9"/>
  <c r="O121" i="9"/>
  <c r="K121" i="9"/>
  <c r="G120" i="9"/>
  <c r="S119" i="9"/>
  <c r="O119" i="9"/>
  <c r="K119" i="9"/>
  <c r="G119" i="9"/>
  <c r="S118" i="9"/>
  <c r="O118" i="9"/>
  <c r="K118" i="9"/>
  <c r="G118" i="9"/>
  <c r="V129" i="10"/>
  <c r="V131" i="10"/>
  <c r="J110" i="10"/>
  <c r="I110" i="10"/>
  <c r="G127" i="10" l="1"/>
  <c r="H127" i="10"/>
  <c r="G126" i="10"/>
  <c r="H126" i="10"/>
  <c r="G125" i="10"/>
  <c r="H125" i="10"/>
  <c r="G124" i="10"/>
  <c r="H124" i="10"/>
  <c r="G123" i="10"/>
  <c r="H123" i="10"/>
  <c r="G122" i="10"/>
  <c r="H122" i="10"/>
  <c r="G121" i="10"/>
  <c r="H121" i="10"/>
  <c r="G120" i="10"/>
  <c r="H120" i="10"/>
  <c r="G119" i="10"/>
  <c r="H119" i="10"/>
  <c r="G118" i="10"/>
  <c r="D63" i="5" s="1"/>
  <c r="D76" i="5" s="1"/>
  <c r="H118" i="10"/>
  <c r="E63" i="5" s="1"/>
  <c r="E76" i="5" s="1"/>
  <c r="G117" i="10"/>
  <c r="H117" i="10"/>
  <c r="G116" i="10"/>
  <c r="H116" i="10"/>
  <c r="G115" i="10"/>
  <c r="H115" i="10"/>
  <c r="G114" i="10"/>
  <c r="H114" i="10"/>
  <c r="G113" i="10"/>
  <c r="H113" i="10"/>
  <c r="G112" i="10"/>
  <c r="H112" i="10"/>
  <c r="G111" i="10"/>
  <c r="H111" i="10"/>
  <c r="G110" i="10"/>
  <c r="H110" i="10"/>
  <c r="G109" i="10"/>
  <c r="G129" i="10" s="1"/>
  <c r="H109" i="10"/>
  <c r="G108" i="10"/>
  <c r="H108" i="10"/>
  <c r="G107" i="10"/>
  <c r="H107" i="10"/>
  <c r="G106" i="10"/>
  <c r="H106" i="10"/>
  <c r="G105" i="10"/>
  <c r="H105" i="10"/>
  <c r="G104" i="10"/>
  <c r="H104" i="10"/>
  <c r="G103" i="10"/>
  <c r="H103" i="10"/>
  <c r="H128" i="10" l="1"/>
  <c r="G131" i="10"/>
  <c r="G128" i="10"/>
  <c r="H129" i="10"/>
  <c r="H131" i="10"/>
  <c r="H132" i="10"/>
  <c r="G130" i="10"/>
  <c r="G132" i="10"/>
  <c r="H130"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83" i="9"/>
  <c r="U84" i="9"/>
  <c r="U85" i="9"/>
  <c r="U86" i="9"/>
  <c r="U87" i="9"/>
  <c r="U131" i="10" l="1"/>
  <c r="U128" i="10"/>
  <c r="R63" i="5"/>
  <c r="R76" i="5" s="1"/>
  <c r="U132" i="10"/>
  <c r="U130" i="10"/>
  <c r="U129" i="10"/>
  <c r="J123" i="10" l="1"/>
  <c r="K123" i="10"/>
  <c r="L123" i="10"/>
  <c r="M123" i="10"/>
  <c r="N123" i="10"/>
  <c r="O123" i="10"/>
  <c r="P123" i="10"/>
  <c r="Q123" i="10"/>
  <c r="R123" i="10"/>
  <c r="S123" i="10"/>
  <c r="T123" i="10"/>
  <c r="I123" i="10"/>
  <c r="I103" i="10"/>
  <c r="J103" i="10"/>
  <c r="K103" i="10"/>
  <c r="L103" i="10"/>
  <c r="M103" i="10"/>
  <c r="N103" i="10"/>
  <c r="O103" i="10"/>
  <c r="P103" i="10"/>
  <c r="Q103" i="10"/>
  <c r="R103" i="10"/>
  <c r="S103" i="10"/>
  <c r="T103" i="10"/>
  <c r="I104" i="10"/>
  <c r="J104" i="10"/>
  <c r="K104" i="10"/>
  <c r="L104" i="10"/>
  <c r="M104" i="10"/>
  <c r="N104" i="10"/>
  <c r="O104" i="10"/>
  <c r="P104" i="10"/>
  <c r="Q104" i="10"/>
  <c r="R104" i="10"/>
  <c r="S104" i="10"/>
  <c r="T104" i="10"/>
  <c r="I105" i="10"/>
  <c r="J105" i="10"/>
  <c r="K105" i="10"/>
  <c r="L105" i="10"/>
  <c r="M105" i="10"/>
  <c r="N105" i="10"/>
  <c r="O105" i="10"/>
  <c r="P105" i="10"/>
  <c r="Q105" i="10"/>
  <c r="R105" i="10"/>
  <c r="S105" i="10"/>
  <c r="T105" i="10"/>
  <c r="I106" i="10"/>
  <c r="J106" i="10"/>
  <c r="K106" i="10"/>
  <c r="L106" i="10"/>
  <c r="M106" i="10"/>
  <c r="N106" i="10"/>
  <c r="O106" i="10"/>
  <c r="P106" i="10"/>
  <c r="Q106" i="10"/>
  <c r="R106" i="10"/>
  <c r="S106" i="10"/>
  <c r="T106" i="10"/>
  <c r="I107" i="10"/>
  <c r="J107" i="10"/>
  <c r="K107" i="10"/>
  <c r="L107" i="10"/>
  <c r="M107" i="10"/>
  <c r="N107" i="10"/>
  <c r="O107" i="10"/>
  <c r="P107" i="10"/>
  <c r="Q107" i="10"/>
  <c r="R107" i="10"/>
  <c r="S107" i="10"/>
  <c r="T107" i="10"/>
  <c r="I108" i="10"/>
  <c r="J108" i="10"/>
  <c r="K108" i="10"/>
  <c r="L108" i="10"/>
  <c r="M108" i="10"/>
  <c r="N108" i="10"/>
  <c r="O108" i="10"/>
  <c r="P108" i="10"/>
  <c r="Q108" i="10"/>
  <c r="R108" i="10"/>
  <c r="S108" i="10"/>
  <c r="T108" i="10"/>
  <c r="I109" i="10"/>
  <c r="J109" i="10"/>
  <c r="K109" i="10"/>
  <c r="L109" i="10"/>
  <c r="M109" i="10"/>
  <c r="N109" i="10"/>
  <c r="O109" i="10"/>
  <c r="P109" i="10"/>
  <c r="Q109" i="10"/>
  <c r="R109" i="10"/>
  <c r="S109" i="10"/>
  <c r="T109" i="10"/>
  <c r="K110" i="10"/>
  <c r="L110" i="10"/>
  <c r="M110" i="10"/>
  <c r="N110" i="10"/>
  <c r="O110" i="10"/>
  <c r="P110" i="10"/>
  <c r="Q110" i="10"/>
  <c r="R110" i="10"/>
  <c r="S110" i="10"/>
  <c r="T110" i="10"/>
  <c r="I111" i="10"/>
  <c r="J111" i="10"/>
  <c r="K111" i="10"/>
  <c r="L111" i="10"/>
  <c r="M111" i="10"/>
  <c r="N111" i="10"/>
  <c r="O111" i="10"/>
  <c r="P111" i="10"/>
  <c r="Q111" i="10"/>
  <c r="R111" i="10"/>
  <c r="S111" i="10"/>
  <c r="T111" i="10"/>
  <c r="I112" i="10"/>
  <c r="J112" i="10"/>
  <c r="K112" i="10"/>
  <c r="L112" i="10"/>
  <c r="M112" i="10"/>
  <c r="N112" i="10"/>
  <c r="O112" i="10"/>
  <c r="P112" i="10"/>
  <c r="Q112" i="10"/>
  <c r="R112" i="10"/>
  <c r="S112" i="10"/>
  <c r="T112" i="10"/>
  <c r="I113" i="10"/>
  <c r="J113" i="10"/>
  <c r="K113" i="10"/>
  <c r="L113" i="10"/>
  <c r="M113" i="10"/>
  <c r="N113" i="10"/>
  <c r="O113" i="10"/>
  <c r="P113" i="10"/>
  <c r="Q113" i="10"/>
  <c r="R113" i="10"/>
  <c r="S113" i="10"/>
  <c r="T113" i="10"/>
  <c r="I114" i="10"/>
  <c r="J114" i="10"/>
  <c r="K114" i="10"/>
  <c r="L114" i="10"/>
  <c r="M114" i="10"/>
  <c r="N114" i="10"/>
  <c r="O114" i="10"/>
  <c r="P114" i="10"/>
  <c r="Q114" i="10"/>
  <c r="R114" i="10"/>
  <c r="S114" i="10"/>
  <c r="T114" i="10"/>
  <c r="I115" i="10"/>
  <c r="J115" i="10"/>
  <c r="K115" i="10"/>
  <c r="L115" i="10"/>
  <c r="M115" i="10"/>
  <c r="N115" i="10"/>
  <c r="O115" i="10"/>
  <c r="P115" i="10"/>
  <c r="Q115" i="10"/>
  <c r="R115" i="10"/>
  <c r="S115" i="10"/>
  <c r="T115" i="10"/>
  <c r="I116" i="10"/>
  <c r="J116" i="10"/>
  <c r="K116" i="10"/>
  <c r="L116" i="10"/>
  <c r="M116" i="10"/>
  <c r="N116" i="10"/>
  <c r="O116" i="10"/>
  <c r="P116" i="10"/>
  <c r="Q116" i="10"/>
  <c r="R116" i="10"/>
  <c r="S116" i="10"/>
  <c r="T116" i="10"/>
  <c r="I117" i="10"/>
  <c r="J117" i="10"/>
  <c r="K117" i="10"/>
  <c r="L117" i="10"/>
  <c r="M117" i="10"/>
  <c r="N117" i="10"/>
  <c r="O117" i="10"/>
  <c r="P117" i="10"/>
  <c r="Q117" i="10"/>
  <c r="R117" i="10"/>
  <c r="S117" i="10"/>
  <c r="T117" i="10"/>
  <c r="I118" i="10"/>
  <c r="J118" i="10"/>
  <c r="K118" i="10"/>
  <c r="L118" i="10"/>
  <c r="M118" i="10"/>
  <c r="N118" i="10"/>
  <c r="O118" i="10"/>
  <c r="P118" i="10"/>
  <c r="Q118" i="10"/>
  <c r="R118" i="10"/>
  <c r="S118" i="10"/>
  <c r="T118" i="10"/>
  <c r="I119" i="10"/>
  <c r="J119" i="10"/>
  <c r="K119" i="10"/>
  <c r="L119" i="10"/>
  <c r="M119" i="10"/>
  <c r="N119" i="10"/>
  <c r="O119" i="10"/>
  <c r="P119" i="10"/>
  <c r="Q119" i="10"/>
  <c r="R119" i="10"/>
  <c r="S119" i="10"/>
  <c r="T119" i="10"/>
  <c r="I120" i="10"/>
  <c r="J120" i="10"/>
  <c r="K120" i="10"/>
  <c r="L120" i="10"/>
  <c r="M120" i="10"/>
  <c r="N120" i="10"/>
  <c r="O120" i="10"/>
  <c r="P120" i="10"/>
  <c r="Q120" i="10"/>
  <c r="R120" i="10"/>
  <c r="S120" i="10"/>
  <c r="T120" i="10"/>
  <c r="I121" i="10"/>
  <c r="J121" i="10"/>
  <c r="K121" i="10"/>
  <c r="L121" i="10"/>
  <c r="M121" i="10"/>
  <c r="N121" i="10"/>
  <c r="O121" i="10"/>
  <c r="P121" i="10"/>
  <c r="Q121" i="10"/>
  <c r="R121" i="10"/>
  <c r="S121" i="10"/>
  <c r="T121" i="10"/>
  <c r="I122" i="10"/>
  <c r="J122" i="10"/>
  <c r="K122" i="10"/>
  <c r="L122" i="10"/>
  <c r="M122" i="10"/>
  <c r="N122" i="10"/>
  <c r="O122" i="10"/>
  <c r="P122" i="10"/>
  <c r="Q122" i="10"/>
  <c r="R122" i="10"/>
  <c r="S122" i="10"/>
  <c r="T122" i="10"/>
  <c r="I124" i="10"/>
  <c r="J124" i="10"/>
  <c r="K124" i="10"/>
  <c r="L124" i="10"/>
  <c r="M124" i="10"/>
  <c r="N124" i="10"/>
  <c r="O124" i="10"/>
  <c r="P124" i="10"/>
  <c r="Q124" i="10"/>
  <c r="R124" i="10"/>
  <c r="S124" i="10"/>
  <c r="T124" i="10"/>
  <c r="I125" i="10"/>
  <c r="J125" i="10"/>
  <c r="K125" i="10"/>
  <c r="L125" i="10"/>
  <c r="M125" i="10"/>
  <c r="N125" i="10"/>
  <c r="O125" i="10"/>
  <c r="P125" i="10"/>
  <c r="Q125" i="10"/>
  <c r="R125" i="10"/>
  <c r="S125" i="10"/>
  <c r="T125" i="10"/>
  <c r="I126" i="10"/>
  <c r="J126" i="10"/>
  <c r="K126" i="10"/>
  <c r="L126" i="10"/>
  <c r="M126" i="10"/>
  <c r="N126" i="10"/>
  <c r="O126" i="10"/>
  <c r="P126" i="10"/>
  <c r="Q126" i="10"/>
  <c r="R126" i="10"/>
  <c r="S126" i="10"/>
  <c r="T126" i="10"/>
  <c r="I127" i="10"/>
  <c r="J127" i="10"/>
  <c r="K127" i="10"/>
  <c r="L127" i="10"/>
  <c r="M127" i="10"/>
  <c r="N127" i="10"/>
  <c r="O127" i="10"/>
  <c r="P127" i="10"/>
  <c r="Q127" i="10"/>
  <c r="R127" i="10"/>
  <c r="S127" i="10"/>
  <c r="T127" i="10"/>
  <c r="I130" i="10"/>
  <c r="J130" i="10"/>
  <c r="I131" i="10" l="1"/>
  <c r="M132" i="10"/>
  <c r="M131" i="10"/>
  <c r="R132" i="10"/>
  <c r="J132" i="10"/>
  <c r="Q132" i="10"/>
  <c r="I132" i="10"/>
  <c r="Q131" i="10"/>
  <c r="Q130" i="10"/>
  <c r="M130" i="10"/>
  <c r="N131" i="10"/>
  <c r="R130" i="10"/>
  <c r="N132" i="10"/>
  <c r="R131" i="10"/>
  <c r="N130" i="10"/>
  <c r="J131" i="10"/>
  <c r="R129" i="10"/>
  <c r="N129" i="10"/>
  <c r="J129" i="10"/>
  <c r="R128" i="10"/>
  <c r="N128" i="10"/>
  <c r="J128" i="10"/>
  <c r="Q129" i="10"/>
  <c r="M129" i="10"/>
  <c r="I129" i="10"/>
  <c r="Q128" i="10"/>
  <c r="M128" i="10"/>
  <c r="I128" i="10"/>
  <c r="T128" i="10"/>
  <c r="P128" i="10"/>
  <c r="L128" i="10"/>
  <c r="S128" i="10"/>
  <c r="O128" i="10"/>
  <c r="K128" i="10"/>
  <c r="T132" i="10"/>
  <c r="L132" i="10"/>
  <c r="P131" i="10"/>
  <c r="T130" i="10"/>
  <c r="L130" i="10"/>
  <c r="O132" i="10"/>
  <c r="S131" i="10"/>
  <c r="K131" i="10"/>
  <c r="O130" i="10"/>
  <c r="P132" i="10"/>
  <c r="T131" i="10"/>
  <c r="L131" i="10"/>
  <c r="P130" i="10"/>
  <c r="S132" i="10"/>
  <c r="K132" i="10"/>
  <c r="O131" i="10"/>
  <c r="S130" i="10"/>
  <c r="K130" i="10"/>
  <c r="T129" i="10"/>
  <c r="P129" i="10"/>
  <c r="L129" i="10"/>
  <c r="S129" i="10"/>
  <c r="O129" i="10"/>
  <c r="K129" i="10"/>
  <c r="T87" i="9"/>
  <c r="S87" i="9"/>
  <c r="R87" i="9"/>
  <c r="Q87" i="9"/>
  <c r="P87" i="9"/>
  <c r="O87" i="9"/>
  <c r="N87" i="9"/>
  <c r="M87" i="9"/>
  <c r="L87" i="9"/>
  <c r="K87" i="9"/>
  <c r="J87" i="9"/>
  <c r="I87" i="9"/>
  <c r="H87" i="9"/>
  <c r="G87" i="9"/>
  <c r="T86" i="9"/>
  <c r="S86" i="9"/>
  <c r="R86" i="9"/>
  <c r="Q86" i="9"/>
  <c r="P86" i="9"/>
  <c r="O86" i="9"/>
  <c r="N86" i="9"/>
  <c r="M86" i="9"/>
  <c r="L86" i="9"/>
  <c r="K86" i="9"/>
  <c r="J86" i="9"/>
  <c r="I86" i="9"/>
  <c r="H86" i="9"/>
  <c r="G86" i="9"/>
  <c r="T85" i="9"/>
  <c r="S85" i="9"/>
  <c r="R85" i="9"/>
  <c r="Q85" i="9"/>
  <c r="P85" i="9"/>
  <c r="O85" i="9"/>
  <c r="N85" i="9"/>
  <c r="M85" i="9"/>
  <c r="L85" i="9"/>
  <c r="K85" i="9"/>
  <c r="J85" i="9"/>
  <c r="I85" i="9"/>
  <c r="H85" i="9"/>
  <c r="G85" i="9"/>
  <c r="T84" i="9"/>
  <c r="S84" i="9"/>
  <c r="R84" i="9"/>
  <c r="Q84" i="9"/>
  <c r="P84" i="9"/>
  <c r="O84" i="9"/>
  <c r="N84" i="9"/>
  <c r="M84" i="9"/>
  <c r="L84" i="9"/>
  <c r="K84" i="9"/>
  <c r="J84" i="9"/>
  <c r="I84" i="9"/>
  <c r="H84" i="9"/>
  <c r="G84" i="9"/>
  <c r="T83" i="9"/>
  <c r="S83" i="9"/>
  <c r="R83" i="9"/>
  <c r="Q83" i="9"/>
  <c r="P83" i="9"/>
  <c r="O83" i="9"/>
  <c r="N83" i="9"/>
  <c r="M83" i="9"/>
  <c r="L83" i="9"/>
  <c r="K83" i="9"/>
  <c r="J83" i="9"/>
  <c r="I83" i="9"/>
  <c r="H83" i="9"/>
  <c r="G83" i="9"/>
  <c r="E75" i="3" l="1"/>
  <c r="G75" i="3"/>
  <c r="J63" i="3"/>
  <c r="E63" i="3"/>
  <c r="L63" i="3" s="1"/>
  <c r="G63" i="3"/>
  <c r="M63" i="3" s="1"/>
  <c r="J75" i="3" l="1"/>
  <c r="G54" i="1"/>
  <c r="H92" i="9"/>
  <c r="I92" i="9" s="1"/>
  <c r="J92" i="9" s="1"/>
  <c r="K92" i="9" s="1"/>
  <c r="L92" i="9" s="1"/>
  <c r="M92" i="9" s="1"/>
  <c r="N92" i="9" s="1"/>
  <c r="O92" i="9" s="1"/>
  <c r="P92" i="9" s="1"/>
  <c r="Q92" i="9" s="1"/>
  <c r="R92" i="9" s="1"/>
  <c r="S92" i="9" s="1"/>
  <c r="T92" i="9" s="1"/>
  <c r="U92" i="9" s="1"/>
  <c r="V92" i="9" s="1"/>
  <c r="W92" i="9" s="1"/>
  <c r="X92" i="9" s="1"/>
  <c r="F63" i="5" l="1"/>
  <c r="F76" i="5" s="1"/>
  <c r="H63" i="5"/>
  <c r="H76" i="5" s="1"/>
  <c r="O63" i="5"/>
  <c r="O76" i="5" s="1"/>
  <c r="I63" i="5"/>
  <c r="I76" i="5" s="1"/>
  <c r="L63" i="5"/>
  <c r="L76" i="5" s="1"/>
  <c r="N63" i="5"/>
  <c r="N76" i="5" s="1"/>
  <c r="G63" i="5"/>
  <c r="G76" i="5" s="1"/>
  <c r="K63" i="5"/>
  <c r="K76" i="5" s="1"/>
  <c r="J63" i="5"/>
  <c r="J76" i="5" s="1"/>
  <c r="M63" i="5"/>
  <c r="M76" i="5" s="1"/>
  <c r="P63" i="5"/>
  <c r="P76" i="5" s="1"/>
  <c r="D75" i="3" l="1"/>
  <c r="G52" i="1"/>
  <c r="Q63" i="5"/>
  <c r="Q76" i="5" s="1"/>
  <c r="Z76" i="5" s="1"/>
  <c r="Y76" i="5" l="1"/>
  <c r="I75" i="3"/>
  <c r="I63" i="3"/>
  <c r="G53" i="1" l="1"/>
  <c r="G51" i="1"/>
  <c r="K54" i="1" l="1"/>
</calcChain>
</file>

<file path=xl/sharedStrings.xml><?xml version="1.0" encoding="utf-8"?>
<sst xmlns="http://schemas.openxmlformats.org/spreadsheetml/2006/main" count="2486" uniqueCount="337">
  <si>
    <t>Sum</t>
  </si>
  <si>
    <t>Domestic extraction</t>
  </si>
  <si>
    <t>Raw material input (RMI)</t>
  </si>
  <si>
    <t>Raw material consumption (RMC)</t>
  </si>
  <si>
    <t>Exports</t>
  </si>
  <si>
    <t>(tonnes RME per capita)</t>
  </si>
  <si>
    <t>Imports in RME</t>
  </si>
  <si>
    <t>Exports  in RME</t>
  </si>
  <si>
    <t>Material flow accounts in raw material equivalents - modelling estimates [env_ac_rme]</t>
  </si>
  <si>
    <t>Last update</t>
  </si>
  <si>
    <t>Extracted on</t>
  </si>
  <si>
    <t>Source of data</t>
  </si>
  <si>
    <t>Eurostat</t>
  </si>
  <si>
    <t>UNIT</t>
  </si>
  <si>
    <t>Total</t>
  </si>
  <si>
    <t>GEO</t>
  </si>
  <si>
    <t>2000</t>
  </si>
  <si>
    <t>2001</t>
  </si>
  <si>
    <t>2002</t>
  </si>
  <si>
    <t>2003</t>
  </si>
  <si>
    <t>2004</t>
  </si>
  <si>
    <t>2005</t>
  </si>
  <si>
    <t>2006</t>
  </si>
  <si>
    <t>2007</t>
  </si>
  <si>
    <t>2008</t>
  </si>
  <si>
    <t>2009</t>
  </si>
  <si>
    <t>2010</t>
  </si>
  <si>
    <t>2011</t>
  </si>
  <si>
    <t>2012</t>
  </si>
  <si>
    <t>Physical Trade Balance in Raw Material Equivalents</t>
  </si>
  <si>
    <t>Material flow accounts [env_ac_mfa]</t>
  </si>
  <si>
    <t>Biomass</t>
  </si>
  <si>
    <t>Metal ores (gross ores)</t>
  </si>
  <si>
    <t>Non-metallic minerals</t>
  </si>
  <si>
    <t>Fossil energy materials/carriers</t>
  </si>
  <si>
    <t>Other products</t>
  </si>
  <si>
    <t>:</t>
  </si>
  <si>
    <t>Waste for final treatment and disposal</t>
  </si>
  <si>
    <t>Special value:</t>
  </si>
  <si>
    <t>not available</t>
  </si>
  <si>
    <t>Metal ores</t>
  </si>
  <si>
    <t>(tonnes per capita)</t>
  </si>
  <si>
    <t>INDIC_NV</t>
  </si>
  <si>
    <t>Fossil energy materials</t>
  </si>
  <si>
    <t>Exports in RME</t>
  </si>
  <si>
    <t>Trade balance in RME</t>
  </si>
  <si>
    <t xml:space="preserve">Imports </t>
  </si>
  <si>
    <t>Raw material equivalents (RME)</t>
  </si>
  <si>
    <t>2013</t>
  </si>
  <si>
    <t>Economy-wide Material Flow Accounts</t>
  </si>
  <si>
    <t>(thousand tonnes)</t>
  </si>
  <si>
    <t>Extracted data</t>
  </si>
  <si>
    <t>Computed data</t>
  </si>
  <si>
    <t>Physical Trade Balance in RME</t>
  </si>
  <si>
    <t>(thousand tonnes RME)</t>
  </si>
  <si>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</si>
  <si>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</si>
  <si>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</si>
  <si>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</si>
  <si>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</si>
  <si>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</si>
  <si>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</si>
  <si>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</si>
  <si>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</si>
  <si>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</si>
  <si>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The complete copyright notice can be found on Eurostat website:</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</si>
  <si>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</si>
  <si>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</si>
  <si>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NACE_R2</t>
  </si>
  <si>
    <t>Construction</t>
  </si>
  <si>
    <t>UNIT/TIME</t>
  </si>
  <si>
    <t>Gross value added of the construction industry</t>
  </si>
  <si>
    <t>DMC</t>
  </si>
  <si>
    <t>Imports
in RME</t>
  </si>
  <si>
    <t>Trade balance
(actual weight)</t>
  </si>
  <si>
    <t>Exports
in RME</t>
  </si>
  <si>
    <t>2014</t>
  </si>
  <si>
    <t>INDIC_NV(L)</t>
  </si>
  <si>
    <t>MATERIAL</t>
  </si>
  <si>
    <t>MATERIAL(L)/TIME</t>
  </si>
  <si>
    <t>DE</t>
  </si>
  <si>
    <t>DMI</t>
  </si>
  <si>
    <t>TOTAL</t>
  </si>
  <si>
    <t>MF1</t>
  </si>
  <si>
    <t>MF2</t>
  </si>
  <si>
    <t>MF3</t>
  </si>
  <si>
    <t>MF4</t>
  </si>
  <si>
    <t>MF5</t>
  </si>
  <si>
    <t>MF6</t>
  </si>
  <si>
    <t>PTB</t>
  </si>
  <si>
    <t>THS_T - Thousand tonnes</t>
  </si>
  <si>
    <t>IMP_RME</t>
  </si>
  <si>
    <t>EXP_RME</t>
  </si>
  <si>
    <t>RMC</t>
  </si>
  <si>
    <t>RMI</t>
  </si>
  <si>
    <t>PTB_RME</t>
  </si>
  <si>
    <t>bookmark to Eurobase</t>
  </si>
  <si>
    <t>bookmark to Eurobase:</t>
  </si>
  <si>
    <r>
      <t>Source</t>
    </r>
    <r>
      <rPr>
        <sz val="9"/>
        <rFont val="Arial"/>
        <family val="2"/>
      </rPr>
      <t xml:space="preserve">: Eurostat (online data code: </t>
    </r>
    <r>
      <rPr>
        <sz val="9"/>
        <color indexed="12"/>
        <rFont val="Arial"/>
        <family val="2"/>
      </rPr>
      <t>env_ac_rme, env_ac_mfa</t>
    </r>
    <r>
      <rPr>
        <sz val="9"/>
        <rFont val="Arial"/>
        <family val="2"/>
      </rPr>
      <t>)</t>
    </r>
  </si>
  <si>
    <r>
      <t>Source</t>
    </r>
    <r>
      <rPr>
        <sz val="9"/>
        <rFont val="Arial"/>
        <family val="2"/>
      </rPr>
      <t xml:space="preserve">: Eurostat (online data code: </t>
    </r>
    <r>
      <rPr>
        <sz val="9"/>
        <color indexed="12"/>
        <rFont val="Arial"/>
        <family val="2"/>
      </rPr>
      <t>env_ac_rme</t>
    </r>
    <r>
      <rPr>
        <sz val="9"/>
        <rFont val="Arial"/>
        <family val="2"/>
      </rPr>
      <t>)</t>
    </r>
  </si>
  <si>
    <r>
      <t>Source</t>
    </r>
    <r>
      <rPr>
        <sz val="9"/>
        <rFont val="Arial"/>
        <family val="2"/>
      </rPr>
      <t xml:space="preserve">: Eurostat (online data code: </t>
    </r>
    <r>
      <rPr>
        <sz val="9"/>
        <color indexed="12"/>
        <rFont val="Arial"/>
        <family val="2"/>
      </rPr>
      <t>env_ac_mfa</t>
    </r>
    <r>
      <rPr>
        <sz val="9"/>
        <rFont val="Arial"/>
        <family val="2"/>
      </rPr>
      <t>)</t>
    </r>
  </si>
  <si>
    <t>2015</t>
  </si>
  <si>
    <t>Gross value added and income by A*10 industry breakdowns [nama_10_a10]</t>
  </si>
  <si>
    <t>NA_ITEM</t>
  </si>
  <si>
    <t>Value added, gross</t>
  </si>
  <si>
    <t>Chain linked volumes (2010), million euro</t>
  </si>
  <si>
    <t>2016</t>
  </si>
  <si>
    <t>Chain linked volumes, index 2010=100</t>
  </si>
  <si>
    <t>Price index (implicit deflator), percentage change on previous period, euro</t>
  </si>
  <si>
    <t>Domestic material consumption</t>
  </si>
  <si>
    <t>Direct material inputs</t>
  </si>
  <si>
    <t>Thousand tonnes</t>
  </si>
  <si>
    <t>Imports in raw material equivalents</t>
  </si>
  <si>
    <t xml:space="preserve">Raw material consumption </t>
  </si>
  <si>
    <t>Tonnes per capita</t>
  </si>
  <si>
    <t>INDIC_ENV</t>
  </si>
  <si>
    <t>INDIC_ENV(L)</t>
  </si>
  <si>
    <t>Material flow accounts in raw material equivalents by final uses of products - modelling estimates [env_ac_rmefd]</t>
  </si>
  <si>
    <t>TIME</t>
  </si>
  <si>
    <t>TOTAL - Total</t>
  </si>
  <si>
    <t/>
  </si>
  <si>
    <t>RMC_P3</t>
  </si>
  <si>
    <t>RMC_P5</t>
  </si>
  <si>
    <t>CPA08</t>
  </si>
  <si>
    <t>CPA08(L)/INDIC_ENV(L)</t>
  </si>
  <si>
    <t>Raw material consumption as result of final consumption expenditure</t>
  </si>
  <si>
    <t xml:space="preserve">Raw material consumption as result of gross capital formation </t>
  </si>
  <si>
    <t>Total CPA products</t>
  </si>
  <si>
    <t>CPA_A01</t>
  </si>
  <si>
    <t>Products of agriculture, hunting and related services</t>
  </si>
  <si>
    <t>CPA_F</t>
  </si>
  <si>
    <t>Constructions and construction works</t>
  </si>
  <si>
    <t>CPA_A02</t>
  </si>
  <si>
    <t>Products of forestry, logging and related services</t>
  </si>
  <si>
    <t>CPA_C10-12</t>
  </si>
  <si>
    <t>Food, beverages and tobacco products</t>
  </si>
  <si>
    <t>CPA_A03</t>
  </si>
  <si>
    <t>Fish and other fishing products; aquaculture products; support services to fishing</t>
  </si>
  <si>
    <t>CPA_B</t>
  </si>
  <si>
    <t>Mining and quarrying</t>
  </si>
  <si>
    <t>CPA_D</t>
  </si>
  <si>
    <t>Electricity, gas, steam and air conditioning</t>
  </si>
  <si>
    <t>CPA_I</t>
  </si>
  <si>
    <t>Accommodation and food services</t>
  </si>
  <si>
    <t>CPA_C13-15</t>
  </si>
  <si>
    <t>Textiles, wearing apparel, leather and related products</t>
  </si>
  <si>
    <t>CPA_O</t>
  </si>
  <si>
    <t>Public administration and defence services; compulsory social security services</t>
  </si>
  <si>
    <t>CPA_C16</t>
  </si>
  <si>
    <t>Wood and of products of wood and cork, except furniture; articles of straw and plaiting materials</t>
  </si>
  <si>
    <t>CPA_L</t>
  </si>
  <si>
    <t>Real estate services</t>
  </si>
  <si>
    <t>CPA_C17</t>
  </si>
  <si>
    <t>Paper and paper products</t>
  </si>
  <si>
    <t>CPA_H49</t>
  </si>
  <si>
    <t>Land transport services and transport services via pipelines</t>
  </si>
  <si>
    <t>CPA_C18</t>
  </si>
  <si>
    <t>Printing and recording services</t>
  </si>
  <si>
    <t>CPA_C29</t>
  </si>
  <si>
    <t>Motor vehicles, trailers and semi-trailers</t>
  </si>
  <si>
    <t>CPA_C19</t>
  </si>
  <si>
    <t>Coke and refined petroleum products</t>
  </si>
  <si>
    <t>CPA_C20</t>
  </si>
  <si>
    <t>Chemicals and chemical products</t>
  </si>
  <si>
    <t>CPA_G46</t>
  </si>
  <si>
    <t>Wholesale trade services, except of motor vehicles and motorcycles</t>
  </si>
  <si>
    <t>CPA_C21</t>
  </si>
  <si>
    <t>Basic pharmaceutical products and pharmaceutical preparations</t>
  </si>
  <si>
    <t>CPA_Q86</t>
  </si>
  <si>
    <t>Human health services</t>
  </si>
  <si>
    <t>CPA_C22</t>
  </si>
  <si>
    <t>Rubber and plastic products</t>
  </si>
  <si>
    <t>CPA_C23</t>
  </si>
  <si>
    <t>Other non-metallic mineral products</t>
  </si>
  <si>
    <t>CPA_C28</t>
  </si>
  <si>
    <t>Machinery and equipment n.e.c.</t>
  </si>
  <si>
    <t>CPA_C24</t>
  </si>
  <si>
    <t>Basic metals</t>
  </si>
  <si>
    <t>CPA_G47</t>
  </si>
  <si>
    <t>Retail trade services, except of motor vehicles and motorcycles</t>
  </si>
  <si>
    <t>CPA_C25</t>
  </si>
  <si>
    <t>Fabricated metal products, except machinery and equipment</t>
  </si>
  <si>
    <t>CPA_C31_32</t>
  </si>
  <si>
    <t>Furniture and other manufactured goods</t>
  </si>
  <si>
    <t>CPA_C26</t>
  </si>
  <si>
    <t>Computer, electronic and optical products</t>
  </si>
  <si>
    <t>CPA_C27</t>
  </si>
  <si>
    <t>Electrical equipment</t>
  </si>
  <si>
    <t>CPA_M72</t>
  </si>
  <si>
    <t>Scientific research and development services</t>
  </si>
  <si>
    <t>CPA_C30</t>
  </si>
  <si>
    <t>Other transport equipment</t>
  </si>
  <si>
    <t>CPA_P</t>
  </si>
  <si>
    <t>Education services</t>
  </si>
  <si>
    <t>CPA_C33</t>
  </si>
  <si>
    <t>Repair and installation services of machinery and equipment</t>
  </si>
  <si>
    <t>CPA_E36</t>
  </si>
  <si>
    <t>Natural water; water treatment and supply services</t>
  </si>
  <si>
    <t>CPA_E37-39</t>
  </si>
  <si>
    <t>Sewerage services; sewage sludge; waste collection, treatment and disposal services; materials recovery services; remediation services and other waste management services</t>
  </si>
  <si>
    <t>CPA_Q87_88</t>
  </si>
  <si>
    <t>Residential care services; social work services without accommodation</t>
  </si>
  <si>
    <t>CPA_G45</t>
  </si>
  <si>
    <t>Wholesale and retail trade and repair services of motor vehicles and motorcycles</t>
  </si>
  <si>
    <t>CPA_H50</t>
  </si>
  <si>
    <t>Water transport services</t>
  </si>
  <si>
    <t>CPA_J61</t>
  </si>
  <si>
    <t>Telecommunications services</t>
  </si>
  <si>
    <t>CPA_H51</t>
  </si>
  <si>
    <t>Air transport services</t>
  </si>
  <si>
    <t>CPA_J62_63</t>
  </si>
  <si>
    <t>Computer programming, consultancy and related services; Information services</t>
  </si>
  <si>
    <t>CPA_H52</t>
  </si>
  <si>
    <t>Warehousing and support services for transportation</t>
  </si>
  <si>
    <t>CPA_H53</t>
  </si>
  <si>
    <t>Postal and courier services</t>
  </si>
  <si>
    <t>CPA_R90-92</t>
  </si>
  <si>
    <t>Creative, arts, entertainment, library, archive, museum, other cultural services; gambling and betting services</t>
  </si>
  <si>
    <t>CPA_J58</t>
  </si>
  <si>
    <t>Publishing services</t>
  </si>
  <si>
    <t>CPA_K65</t>
  </si>
  <si>
    <t>Insurance, reinsurance and pension funding services, except compulsory social security</t>
  </si>
  <si>
    <t>CPA_J59_60</t>
  </si>
  <si>
    <t>Motion picture, video and television programme production services, sound recording and music publishing; programming and broadcasting services</t>
  </si>
  <si>
    <t>CPA_S96</t>
  </si>
  <si>
    <t>Other personal services</t>
  </si>
  <si>
    <t>CPA_R93</t>
  </si>
  <si>
    <t>Sporting services and amusement and recreation services</t>
  </si>
  <si>
    <t>CPA_K64</t>
  </si>
  <si>
    <t>Financial services, except insurance and pension funding</t>
  </si>
  <si>
    <t>CPA_K66</t>
  </si>
  <si>
    <t>Services auxiliary to financial services and insurance services</t>
  </si>
  <si>
    <t>CPA_S94</t>
  </si>
  <si>
    <t>Services furnished by membership organisations</t>
  </si>
  <si>
    <t>CPA_M69_70</t>
  </si>
  <si>
    <t>Legal and accounting services; services of head offices; management consultancy services</t>
  </si>
  <si>
    <t>CPA_M71</t>
  </si>
  <si>
    <t>Architectural and engineering services; technical testing and analysis services</t>
  </si>
  <si>
    <t>CPA_M73</t>
  </si>
  <si>
    <t>Advertising and market research services</t>
  </si>
  <si>
    <t>CPA_M74_75</t>
  </si>
  <si>
    <t>Other professional, scientific and technical services and veterinary services</t>
  </si>
  <si>
    <t>CPA_N77</t>
  </si>
  <si>
    <t>Rental and leasing services</t>
  </si>
  <si>
    <t>CPA_N80-82</t>
  </si>
  <si>
    <t>Security and investigation services; services to buildings and landscape; office administrative, office support and other business support services</t>
  </si>
  <si>
    <t>CPA_N78</t>
  </si>
  <si>
    <t>Employment services</t>
  </si>
  <si>
    <t>CPA_N79</t>
  </si>
  <si>
    <t>Travel agency, tour operator and other reservation services and related services</t>
  </si>
  <si>
    <t>CPA_S95</t>
  </si>
  <si>
    <t>Repair services of computers and personal and household goods</t>
  </si>
  <si>
    <t>CPA_T</t>
  </si>
  <si>
    <t>Services of households as employers; undifferentiated goods and services produced by households for own use</t>
  </si>
  <si>
    <t>MF1 - Biomass</t>
  </si>
  <si>
    <t>MF2 - Metal ores (gross ores)</t>
  </si>
  <si>
    <t>MF3 - Non-metallic minerals</t>
  </si>
  <si>
    <t>MF4 - Fossil energy materials/carriers</t>
  </si>
  <si>
    <t>Raw material equivalents (RME) - by final uses of products</t>
  </si>
  <si>
    <t>RMC as result of final consumption expenditure</t>
  </si>
  <si>
    <t xml:space="preserve">RMC as result of gross capital formation </t>
  </si>
  <si>
    <t>Total material</t>
  </si>
  <si>
    <t>% of total RMC</t>
  </si>
  <si>
    <t>Material</t>
  </si>
  <si>
    <r>
      <t>Source</t>
    </r>
    <r>
      <rPr>
        <sz val="9"/>
        <rFont val="Arial"/>
        <family val="2"/>
      </rPr>
      <t xml:space="preserve">: Eurostat (online data codes: </t>
    </r>
    <r>
      <rPr>
        <sz val="9"/>
        <color indexed="12"/>
        <rFont val="Arial"/>
        <family val="2"/>
      </rPr>
      <t>env_ac_rmefd</t>
    </r>
    <r>
      <rPr>
        <sz val="9"/>
        <rFont val="Arial"/>
        <family val="2"/>
      </rPr>
      <t>)</t>
    </r>
  </si>
  <si>
    <t>Imports*
 (actual weight)</t>
  </si>
  <si>
    <t>Exports*
(actual weight)</t>
  </si>
  <si>
    <t>CPA08 product</t>
  </si>
  <si>
    <t>Domestic material consumption (DMC)</t>
  </si>
  <si>
    <t>Auxilliary data on final demand in monetary terms</t>
  </si>
  <si>
    <t>Symmetric input-output table at basic prices (product by product) [naio_10_cp1700]</t>
  </si>
  <si>
    <t>Million euro</t>
  </si>
  <si>
    <t>STK_FLOW</t>
  </si>
  <si>
    <t>INDUSE</t>
  </si>
  <si>
    <t>P3</t>
  </si>
  <si>
    <t>P5</t>
  </si>
  <si>
    <t>P6</t>
  </si>
  <si>
    <t>TFU</t>
  </si>
  <si>
    <t>PROD_NA/INDUSE(L)</t>
  </si>
  <si>
    <t>Final consumption expediture</t>
  </si>
  <si>
    <t>Gross Capital formation</t>
  </si>
  <si>
    <t>Exports of goods and services</t>
  </si>
  <si>
    <t>Total final use</t>
  </si>
  <si>
    <t>Raw material equivalents</t>
  </si>
  <si>
    <r>
      <t xml:space="preserve">This file accompanies the </t>
    </r>
    <r>
      <rPr>
        <b/>
        <sz val="9"/>
        <color theme="1"/>
        <rFont val="Arial"/>
        <family val="2"/>
      </rPr>
      <t>Statistics Explained</t>
    </r>
    <r>
      <rPr>
        <sz val="9"/>
        <color theme="1"/>
        <rFont val="Arial"/>
        <family val="2"/>
      </rPr>
      <t xml:space="preserve"> article: '</t>
    </r>
    <r>
      <rPr>
        <b/>
        <sz val="9"/>
        <color theme="1"/>
        <rFont val="Arial"/>
        <family val="2"/>
      </rPr>
      <t>Material flow accounts statistics - material footprints</t>
    </r>
    <r>
      <rPr>
        <sz val="9"/>
        <color theme="1"/>
        <rFont val="Arial"/>
        <family val="2"/>
      </rPr>
      <t>' and contains the figures and underlying data used in the article.</t>
    </r>
  </si>
  <si>
    <t>Material flow accounts statistics - material footprints</t>
  </si>
  <si>
    <t>IMP</t>
  </si>
  <si>
    <t>Imports</t>
  </si>
  <si>
    <t>EXP</t>
  </si>
  <si>
    <t>2017</t>
  </si>
  <si>
    <t>Physical trade balance</t>
  </si>
  <si>
    <t>2018</t>
  </si>
  <si>
    <t xml:space="preserve">   &gt; the source is indicated as Eurostat;</t>
  </si>
  <si>
    <t xml:space="preserve">   &gt; when re-use involves modifications to the data or text, this must be stated clearly to the end user of the information.</t>
  </si>
  <si>
    <t>https://ec.europa.eu/eurostat/about/policies/copyright</t>
  </si>
  <si>
    <t xml:space="preserve">More information on the reuse of European Statistical System statistics: </t>
  </si>
  <si>
    <t>https://ec.europa.eu/eurostat/web/european-statistical-system/reuse-ess-statistics</t>
  </si>
  <si>
    <t>Raw material consumption</t>
  </si>
  <si>
    <t>Raw material input</t>
  </si>
  <si>
    <t>Raw material consumption as result of gross capital formation</t>
  </si>
  <si>
    <t>2019</t>
  </si>
  <si>
    <r>
      <t>Source</t>
    </r>
    <r>
      <rPr>
        <sz val="12"/>
        <rFont val="Arial"/>
        <family val="2"/>
      </rPr>
      <t xml:space="preserve">: Eurostat (online data code: </t>
    </r>
    <r>
      <rPr>
        <sz val="12"/>
        <color indexed="12"/>
        <rFont val="Arial"/>
        <family val="2"/>
      </rPr>
      <t>env_ac_rmefd</t>
    </r>
    <r>
      <rPr>
        <sz val="12"/>
        <rFont val="Arial"/>
        <family val="2"/>
      </rPr>
      <t>)</t>
    </r>
  </si>
  <si>
    <t>https://appsso.eurostat.ec.europa.eu/nui/show.do?query=BOOKMARK_DS-075779_QID_153472F6_UID_-3F171EB0&amp;layout=TIME,C,X,0;INDIC_ENV,B,Y,0;MATERIAL,B,Y,1;UNIT,B,Z,0;GEO,B,Z,1;INDICATORS,C,Z,2;&amp;zSelection=DS-075779GEO,EU27_2020;DS-075779INDICATORS,OBS_FLAG;DS-075779UNIT,THS_T;&amp;rankName1=UNIT_1_2_-1_2&amp;rankName2=INDICATORS_1_2_-1_2&amp;rankName3=GEO_1_2_1_1&amp;rankName4=TIME_1_0_0_0&amp;rankName5=INDIC-ENV_1_2_0_1&amp;rankName6=MATERIAL_1_2_1_1&amp;sortC=ASC_-1_FIRST&amp;rStp=&amp;cStp=&amp;rDCh=&amp;cDCh=&amp;rDM=true&amp;cDM=true&amp;footnes=false&amp;empty=false&amp;wai=false&amp;time_mode=NONE&amp;time_most_recent=false&amp;lang=EN&amp;cfo=%23%23%23%2C%23%23%23.%23%23%23</t>
  </si>
  <si>
    <t>EU27_2020 - European Union - 27 countries (from 2020)</t>
  </si>
  <si>
    <t>Exports in raw material equivalents</t>
  </si>
  <si>
    <t>Wood and products of wood and cork, except furniture; articles of straw and plaiting materials</t>
  </si>
  <si>
    <t>Data is sorted per table - manually copy-paste codes (excl. TOTAL), labels and values; then products are sorted from highest to smallest value for RMC</t>
  </si>
  <si>
    <t>T_HAB - Tonnes per capita</t>
  </si>
  <si>
    <r>
      <t>Source</t>
    </r>
    <r>
      <rPr>
        <sz val="9"/>
        <rFont val="Arial"/>
        <family val="2"/>
      </rPr>
      <t xml:space="preserve">: Eurostat (online data codes: </t>
    </r>
    <r>
      <rPr>
        <sz val="9"/>
        <color indexed="12"/>
        <rFont val="Arial"/>
        <family val="2"/>
      </rPr>
      <t>env_ac_mfa, env_ac_rme</t>
    </r>
    <r>
      <rPr>
        <sz val="9"/>
        <rFont val="Arial"/>
        <family val="2"/>
      </rPr>
      <t>)</t>
    </r>
  </si>
  <si>
    <t>Direct material flows broken down by material categories, EU-27, 2000-2019</t>
  </si>
  <si>
    <t>Direct material flows broken down by material categories - transformation from 6 material categories into 4 material categories, EU-27, 2000-2019</t>
  </si>
  <si>
    <t>imports</t>
  </si>
  <si>
    <t>exports</t>
  </si>
  <si>
    <t>Absolute difference</t>
  </si>
  <si>
    <t>Factor difference</t>
  </si>
  <si>
    <t>RMC higher than DMC</t>
  </si>
  <si>
    <t>RMI higher than DMI</t>
  </si>
  <si>
    <t>Difference RMC and DMC</t>
  </si>
  <si>
    <t>difference</t>
  </si>
  <si>
    <t>min</t>
  </si>
  <si>
    <t>max</t>
  </si>
  <si>
    <t>difference to 2000</t>
  </si>
  <si>
    <t>difference to 2007</t>
  </si>
  <si>
    <t>difference to 2010</t>
  </si>
  <si>
    <t>RMC index (2000=100)</t>
  </si>
  <si>
    <t>GVA of construction (2000=100)</t>
  </si>
  <si>
    <t>2020</t>
  </si>
  <si>
    <t xml:space="preserve">* Note: the material categories 'other products' and 'waste' from EW-MFA are proportionally assigned to the four main material categories represented </t>
  </si>
  <si>
    <t xml:space="preserve">* Note: the material categories 'other products' and 'waste' in the EW-MFA are proportionally assigned to the four main material categories represented </t>
  </si>
  <si>
    <t>September 2021</t>
  </si>
  <si>
    <t>ref year</t>
  </si>
  <si>
    <t>https://appsso.eurostat.ec.europa.eu/nui/show.do?query=BOOKMARK_DS-446651_QID_3F703F72_UID_-3F171EB0&amp;layout=INDUSE,B,X,0;TIME,C,Y,0;PROD_NA,B,Y,1;UNIT,L,Z,0;STK_FLOW,L,Z,1;GEO,B,Z,2;INDICATORS,C,Z,3;&amp;zSelection=DS-446651STK_FLOW,TOTAL;DS-446651INDICATORS,OBS_FLAG;DS-446651UNIT,MIO_EUR;DS-446651GEO,EU27_2020;&amp;rankName1=UNIT_1_2_-1_2&amp;rankName2=INDICATORS_1_2_-1_2&amp;rankName3=STK-FLOW_1_2_-1_2&amp;rankName4=GEO_1_2_0_0&amp;rankName5=INDUSE_1_2_0_0&amp;rankName6=TIME_1_0_0_1&amp;rankName7=PROD-NA_1_2_1_1&amp;sortR=ASC_-1_FIRST&amp;rStp=&amp;cStp=&amp;rDCh=&amp;cDCh=&amp;rDM=true&amp;cDM=true&amp;footnes=false&amp;empty=false&amp;wai=false&amp;time_mode=ROLLING&amp;time_most_recent=false&amp;lang=EN&amp;cfo=%23%23%23%2C%23%23%23.%23%23%23</t>
  </si>
  <si>
    <t>https://appsso.eurostat.ec.europa.eu/nui/show.do?query=BOOKMARK_DS-406765_QID_-51D469FF_UID_-3F171EB0&amp;layout=TIME,C,X,0;UNIT,B,Y,0;GEO,B,Z,0;NACE_R2,B,Z,1;NA_ITEM,B,Z,2;INDICATORS,C,Z,3;&amp;zSelection=DS-406765UNIT,CLV10_MEUR;DS-406765NA_ITEM,B1G;DS-406765INDICATORS,OBS_FLAG;DS-406765GEO,EU27_2020;DS-406765NACE_R2,F;&amp;rankName1=NA-ITEM_1_2_-1_2&amp;rankName2=INDICATORS_1_2_-1_2&amp;rankName3=NACE-R2_1_2_-1_2&amp;rankName4=GEO_1_2_0_1&amp;rankName5=TIME_1_0_0_0&amp;rankName6=UNIT_1_2_0_1&amp;sortC=ASC_-1_FIRST&amp;rStp=&amp;cStp=&amp;rDCh=&amp;cDCh=&amp;rDM=true&amp;cDM=true&amp;footnes=false&amp;empty=false&amp;wai=false&amp;time_mode=ROLLING&amp;time_most_recent=false&amp;lang=EN&amp;cfo=%23%23%23%2C%23%23%23.%23%23%23</t>
  </si>
  <si>
    <t>https://appsso.eurostat.ec.europa.eu/nui/show.do?query=BOOKMARK_DS-392609_QID_-74650F4D_UID_-3F171EB0&amp;layout=TIME,C,X,0;INDIC_ENV,B,Y,0;MATERIAL,B,Y,1;UNIT,B,Z,0;GEO,B,Z,1;INDICATORS,C,Z,2;&amp;zSelection=DS-392609GEO,EU27_2020;DS-392609INDICATORS,OBS_FLAG;DS-392609UNIT,T_HAB;DS-392609INDIC_ENV,RMC;&amp;rankName1=UNIT_1_2_-1_2&amp;rankName2=INDICATORS_1_2_-1_2&amp;rankName3=GEO_1_2_0_1&amp;rankName4=TIME_1_0_0_0&amp;rankName5=INDIC-ENV_1_2_0_1&amp;rankName6=MATERIAL_1_2_1_1&amp;sortC=ASC_-1_FIRST&amp;rStp=&amp;cStp=&amp;rDCh=&amp;cDCh=&amp;rDM=true&amp;cDM=true&amp;footnes=false&amp;empty=false&amp;wai=false&amp;time_mode=ROLLING&amp;time_most_recent=false&amp;lang=EN&amp;cfo=%23%23%23%2C%23%23%23.%23%23%23</t>
  </si>
  <si>
    <t>https://appsso.eurostat.ec.europa.eu/nui/show.do?query=BOOKMARK_DS-392609_QID_-3289267E_UID_-3F171EB0&amp;layout=TIME,C,X,0;INDIC_ENV,B,Y,0;MATERIAL,B,Y,1;UNIT,B,Z,0;GEO,B,Z,1;INDICATORS,C,Z,2;&amp;zSelection=DS-392609GEO,EU27_2020;DS-392609INDICATORS,OBS_FLAG;DS-392609UNIT,THS_T;&amp;rankName1=UNIT_1_2_-1_2&amp;rankName2=INDICATORS_1_2_-1_2&amp;rankName3=GEO_1_2_0_1&amp;rankName4=TIME_1_0_0_0&amp;rankName5=INDIC-ENV_1_2_0_1&amp;rankName6=MATERIAL_1_2_1_1&amp;sortC=ASC_-1_FIRST&amp;rStp=&amp;cStp=&amp;rDCh=&amp;cDCh=&amp;rDM=true&amp;cDM=true&amp;footnes=false&amp;empty=false&amp;wai=false&amp;time_mode=ROLLING&amp;time_most_recent=false&amp;lang=EN&amp;cfo=%23%23%23%2C%23%23%23.%23%23%23</t>
  </si>
  <si>
    <t>https://appsso.eurostat.ec.europa.eu/nui/show.do?query=BOOKMARK_DS-857158_QID_3198E997_UID_-3F171EB0&amp;layout=INDIC_ENV,B,X,0;CPA08,B,Y,0;TIME,C,Z,0;MATERIAL,B,Z,1;GEO,L,Z,2;UNIT,B,Z,3;INDICATORS,C,Z,4;&amp;zSelection=DS-857158TIME,2019;DS-857158INDICATORS,OBS_FLAG;DS-857158GEO,EU27_2020;DS-857158MATERIAL,TOTAL;DS-857158UNIT,T_HAB;&amp;rankName1=GEO_1_2_-1_2&amp;rankName2=UNIT_1_2_-1_2&amp;rankName3=INDICATORS_1_2_-1_2&amp;rankName4=MATERIAL_1_2_-1_2&amp;rankName5=TIME_1_0_0_0&amp;rankName6=INDIC-ENV_1_2_0_0&amp;rankName7=CPA08_1_2_0_1&amp;rStp=&amp;cStp=&amp;rDCh=&amp;cDCh=&amp;rDM=true&amp;cDM=true&amp;footnes=false&amp;empty=false&amp;wai=false&amp;time_mode=ROLLING&amp;time_most_recent=false&amp;lang=EN&amp;cfo=%23%23%23%2C%23%23%23.%23%23%23</t>
  </si>
  <si>
    <t>Table: Products with highest raw material consumption (RMC) by type of material, EU-27,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</si>
</sst>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 ###\ ##0.0"/>
    <numFmt numFmtId="165" formatCode="#,##0.0_i"/>
    <numFmt numFmtId="166" formatCode="dd\.mm\.yy"/>
    <numFmt numFmtId="167" formatCode="0.0"/>
    <numFmt numFmtId="168" formatCode="#,##0.0"/>
    <numFmt numFmtId="169" formatCode="0.000"/>
    <numFmt numFmtId="170" formatCode="#,##0.000"/>
    <numFmt numFmtId="171" formatCode="_-* #,##0.00\ [$€]_-;\-* #,##0.00\ [$€]_-;_-* &quot;-&quot;??\ [$€]_-;_-@_-"/>
    <numFmt numFmtId="172" formatCode="0.0%"/>
  </numFmts>
  <fonts count="54">
    <font>
      <sz val="11"/>
      <color theme="1"/>
      <name val="Calibri"/>
      <family val="2"/>
      <scheme val="minor"/>
    </font>
    <font>
      <sz val="9"/>
      <name val="Arial"/>
      <family val="2"/>
    </font>
    <font>
      <sz val="9"/>
      <color indexed="62"/>
      <name val="Arial"/>
      <family val="2"/>
    </font>
    <font>
      <b/>
      <sz val="9"/>
      <name val="Arial"/>
      <family val="2"/>
    </font>
    <font>
      <sz val="10"/>
      <name val="Arial"/>
      <family val="2"/>
    </font>
    <font>
      <sz val="11"/>
      <name val="Arial"/>
      <family val="2"/>
    </font>
    <font>
      <sz val="11"/>
      <name val="Arial"/>
      <family val="2"/>
    </font>
    <font>
      <sz val="9"/>
      <color theme="1"/>
      <name val="Arial"/>
      <family val="2"/>
    </font>
    <font>
      <b/>
      <sz val="9"/>
      <color theme="1"/>
      <name val="Arial"/>
      <family val="2"/>
    </font>
    <font>
      <u/>
      <sz val="11"/>
      <color theme="10"/>
      <name val="Calibri"/>
      <family val="2"/>
      <scheme val="minor"/>
    </font>
    <font>
      <sz val="11"/>
      <name val="Arial"/>
      <family val="2"/>
    </font>
    <font>
      <b/>
      <sz val="9"/>
      <color rgb="FF005953"/>
      <name val="Arial"/>
      <family val="2"/>
    </font>
    <font>
      <sz val="9"/>
      <color rgb="FF005953"/>
      <name val="Arial"/>
      <family val="2"/>
    </font>
    <font>
      <u/>
      <sz val="9"/>
      <color theme="10"/>
      <name val="Arial"/>
      <family val="2"/>
    </font>
    <font>
      <i/>
      <sz val="9"/>
      <color theme="1"/>
      <name val="Arial"/>
      <family val="2"/>
    </font>
    <font>
      <sz val="9"/>
      <color theme="10"/>
      <name val="Arial"/>
      <family val="2"/>
    </font>
    <font>
      <i/>
      <sz val="9"/>
      <name val="Arial"/>
      <family val="2"/>
    </font>
    <font>
      <sz val="9"/>
      <color indexed="12"/>
      <name val="Arial"/>
      <family val="2"/>
    </font>
    <font>
      <sz val="9"/>
      <color rgb="FFFF0000"/>
      <name val="Arial"/>
      <family val="2"/>
    </font>
    <font>
      <b/>
      <sz val="9"/>
      <color rgb="FFFF0000"/>
      <name val="Arial"/>
      <family val="2"/>
    </font>
    <font>
      <sz val="9"/>
      <color theme="0" tint="-0.14999847407452621"/>
      <name val="Arial"/>
      <family val="2"/>
    </font>
    <font>
      <sz val="11"/>
      <color theme="1"/>
      <name val="Calibri"/>
      <family val="2"/>
      <scheme val="minor"/>
    </font>
    <font>
      <b/>
      <sz val="9"/>
      <color theme="4" tint="0.7999816888943144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10"/>
      <color theme="1"/>
      <name val="Arial"/>
      <family val="2"/>
    </font>
    <font>
      <b/>
      <sz val="10"/>
      <color rgb="FFFF0000"/>
      <name val="Arial"/>
      <family val="2"/>
    </font>
    <font>
      <sz val="10"/>
      <color rgb="FFFF0000"/>
      <name val="Arial"/>
      <family val="2"/>
    </font>
    <font>
      <b/>
      <sz val="11"/>
      <color rgb="FFFF0000"/>
      <name val="Calibri"/>
      <family val="2"/>
      <scheme val="minor"/>
    </font>
    <font>
      <sz val="9"/>
      <color theme="1"/>
      <name val="Calibri"/>
      <family val="2"/>
      <scheme val="minor"/>
    </font>
    <font>
      <sz val="9"/>
      <color theme="0" tint="-0.249977111117893"/>
      <name val="Arial"/>
      <family val="2"/>
    </font>
    <font>
      <b/>
      <sz val="12"/>
      <color theme="1"/>
      <name val="Arial"/>
      <family val="2"/>
    </font>
    <font>
      <u/>
      <sz val="10"/>
      <color theme="10"/>
      <name val="Arial"/>
      <family val="2"/>
    </font>
    <font>
      <b/>
      <sz val="16"/>
      <color theme="1"/>
      <name val="Arial"/>
      <family val="2"/>
    </font>
    <font>
      <sz val="12"/>
      <name val="Arial"/>
      <family val="2"/>
    </font>
    <font>
      <i/>
      <sz val="12"/>
      <name val="Arial"/>
      <family val="2"/>
    </font>
    <font>
      <sz val="12"/>
      <color indexed="12"/>
      <name val="Arial"/>
      <family val="2"/>
    </font>
    <font>
      <b/>
      <sz val="10"/>
      <name val="Arial"/>
      <family val="2"/>
    </font>
    <font>
      <sz val="9"/>
      <name val="Ariel"/>
    </font>
  </fonts>
  <fills count="32">
    <fill>
      <patternFill patternType="none"/>
    </fill>
    <fill>
      <patternFill patternType="gray125"/>
    </fill>
    <fill>
      <patternFill patternType="solid">
        <fgColor indexed="44"/>
        <bgColor indexed="64"/>
      </patternFill>
    </fill>
    <fill>
      <patternFill patternType="solid">
        <fgColor theme="4" tint="0.79998168889431442"/>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0"/>
        <bgColor indexed="60"/>
      </patternFill>
    </fill>
    <fill>
      <patternFill patternType="solid">
        <fgColor indexed="43"/>
      </patternFill>
    </fill>
    <fill>
      <patternFill patternType="solid">
        <fgColor indexed="26"/>
      </patternFill>
    </fill>
    <fill>
      <patternFill patternType="solid">
        <fgColor rgb="FFFFFF00"/>
        <bgColor indexed="64"/>
      </patternFill>
    </fill>
  </fills>
  <borders count="76">
    <border>
      <left/>
      <right/>
      <top/>
      <bottom/>
      <diagonal/>
    </border>
    <border>
      <left style="thin">
        <color indexed="8"/>
      </left>
      <right style="thin">
        <color indexed="8"/>
      </right>
      <top style="thin">
        <color indexed="8"/>
      </top>
      <bottom style="thin">
        <color indexed="8"/>
      </bottom>
      <diagonal/>
    </border>
    <border>
      <left/>
      <right/>
      <top style="thin">
        <color rgb="FF000000"/>
      </top>
      <bottom style="thin">
        <color rgb="FF000000"/>
      </bottom>
      <diagonal/>
    </border>
    <border>
      <left/>
      <right/>
      <top/>
      <bottom style="hair">
        <color rgb="FFD0D1D2"/>
      </bottom>
      <diagonal/>
    </border>
    <border>
      <left style="hair">
        <color rgb="FFD0D1D2"/>
      </left>
      <right/>
      <top/>
      <bottom style="hair">
        <color rgb="FFD0D1D2"/>
      </bottom>
      <diagonal/>
    </border>
    <border>
      <left/>
      <right/>
      <top style="hair">
        <color rgb="FFD0D1D2"/>
      </top>
      <bottom style="hair">
        <color rgb="FFD0D1D2"/>
      </bottom>
      <diagonal/>
    </border>
    <border>
      <left style="hair">
        <color rgb="FFD0D1D2"/>
      </left>
      <right/>
      <top style="thin">
        <color rgb="FF000000"/>
      </top>
      <bottom style="thin">
        <color rgb="FF000000"/>
      </bottom>
      <diagonal/>
    </border>
    <border>
      <left style="hair">
        <color rgb="FFD0D1D2"/>
      </left>
      <right/>
      <top/>
      <bottom style="thin">
        <color indexed="64"/>
      </bottom>
      <diagonal/>
    </border>
    <border>
      <left style="hair">
        <color rgb="FFD0D1D2"/>
      </left>
      <right/>
      <top style="hair">
        <color rgb="FFD0D1D2"/>
      </top>
      <bottom style="thin">
        <color indexed="64"/>
      </bottom>
      <diagonal/>
    </border>
    <border>
      <left style="hair">
        <color rgb="FFD0D1D2"/>
      </left>
      <right style="hair">
        <color rgb="FFD0D1D2"/>
      </right>
      <top style="hair">
        <color rgb="FFD0D1D2"/>
      </top>
      <bottom style="hair">
        <color rgb="FFD0D1D2"/>
      </bottom>
      <diagonal/>
    </border>
    <border>
      <left style="hair">
        <color rgb="FFD0D1D2"/>
      </left>
      <right style="hair">
        <color rgb="FFD0D1D2"/>
      </right>
      <top style="hair">
        <color rgb="FFD0D1D2"/>
      </top>
      <bottom style="thin">
        <color indexed="64"/>
      </bottom>
      <diagonal/>
    </border>
    <border>
      <left style="hair">
        <color rgb="FFD0D1D2"/>
      </left>
      <right/>
      <top style="thin">
        <color rgb="FF000000"/>
      </top>
      <bottom style="hair">
        <color rgb="FFD0D1D2"/>
      </bottom>
      <diagonal/>
    </border>
    <border>
      <left/>
      <right style="hair">
        <color rgb="FFD0D1D2"/>
      </right>
      <top style="hair">
        <color rgb="FFD0D1D2"/>
      </top>
      <bottom style="thin">
        <color indexed="64"/>
      </bottom>
      <diagonal/>
    </border>
    <border>
      <left/>
      <right style="hair">
        <color rgb="FFD0D1D2"/>
      </right>
      <top style="hair">
        <color rgb="FFD0D1D2"/>
      </top>
      <bottom style="hair">
        <color rgb="FFD0D1D2"/>
      </bottom>
      <diagonal/>
    </border>
    <border>
      <left style="hair">
        <color rgb="FFD0D1D2"/>
      </left>
      <right/>
      <top style="hair">
        <color rgb="FFD0D1D2"/>
      </top>
      <bottom style="hair">
        <color rgb="FFD0D1D2"/>
      </bottom>
      <diagonal/>
    </border>
    <border>
      <left style="dotted">
        <color rgb="FFD0D1D2"/>
      </left>
      <right style="dotted">
        <color rgb="FFD0D1D2"/>
      </right>
      <top style="dotted">
        <color rgb="FFD0D1D2"/>
      </top>
      <bottom style="dotted">
        <color rgb="FFD0D1D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theme="0" tint="-0.24994659260841701"/>
      </right>
      <top style="thin">
        <color rgb="FF000000"/>
      </top>
      <bottom style="hair">
        <color theme="0" tint="-0.24994659260841701"/>
      </bottom>
      <diagonal/>
    </border>
    <border>
      <left style="hair">
        <color theme="0" tint="-0.24994659260841701"/>
      </left>
      <right style="hair">
        <color theme="0" tint="-0.24994659260841701"/>
      </right>
      <top style="thin">
        <color rgb="FF000000"/>
      </top>
      <bottom style="hair">
        <color theme="0" tint="-0.24994659260841701"/>
      </bottom>
      <diagonal/>
    </border>
    <border>
      <left style="hair">
        <color theme="0" tint="-0.24994659260841701"/>
      </left>
      <right/>
      <top style="thin">
        <color rgb="FF000000"/>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style="hair">
        <color theme="0" tint="-0.24994659260841701"/>
      </right>
      <top style="hair">
        <color theme="0" tint="-0.24994659260841701"/>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hair">
        <color theme="0" tint="-0.24994659260841701"/>
      </left>
      <right/>
      <top style="hair">
        <color theme="0" tint="-0.24994659260841701"/>
      </top>
      <bottom style="thin">
        <color indexed="64"/>
      </bottom>
      <diagonal/>
    </border>
    <border>
      <left/>
      <right style="hair">
        <color theme="0" tint="-0.24994659260841701"/>
      </right>
      <top style="hair">
        <color theme="0" tint="-0.24994659260841701"/>
      </top>
      <bottom style="thin">
        <color rgb="FF000000"/>
      </bottom>
      <diagonal/>
    </border>
    <border>
      <left style="hair">
        <color theme="0" tint="-0.24994659260841701"/>
      </left>
      <right style="hair">
        <color theme="0" tint="-0.24994659260841701"/>
      </right>
      <top style="hair">
        <color theme="0" tint="-0.24994659260841701"/>
      </top>
      <bottom style="thin">
        <color rgb="FF000000"/>
      </bottom>
      <diagonal/>
    </border>
    <border>
      <left/>
      <right style="hair">
        <color theme="0" tint="-0.24994659260841701"/>
      </right>
      <top style="dotted">
        <color rgb="FFD0D1D2"/>
      </top>
      <bottom style="hair">
        <color theme="0" tint="-0.24994659260841701"/>
      </bottom>
      <diagonal/>
    </border>
    <border>
      <left style="hair">
        <color theme="0" tint="-0.24994659260841701"/>
      </left>
      <right style="hair">
        <color theme="0" tint="-0.24994659260841701"/>
      </right>
      <top style="dotted">
        <color rgb="FFD0D1D2"/>
      </top>
      <bottom style="hair">
        <color theme="0" tint="-0.24994659260841701"/>
      </bottom>
      <diagonal/>
    </border>
    <border>
      <left/>
      <right/>
      <top style="thin">
        <color rgb="FF000000"/>
      </top>
      <bottom style="hair">
        <color rgb="FFD0D1D2"/>
      </bottom>
      <diagonal/>
    </border>
    <border>
      <left style="hair">
        <color rgb="FFD0D1D2"/>
      </left>
      <right style="hair">
        <color rgb="FFD0D1D2"/>
      </right>
      <top style="thin">
        <color rgb="FF000000"/>
      </top>
      <bottom style="hair">
        <color rgb="FFD0D1D2"/>
      </bottom>
      <diagonal/>
    </border>
    <border>
      <left/>
      <right/>
      <top style="thin">
        <color rgb="FF000000"/>
      </top>
      <bottom style="thin">
        <color indexed="64"/>
      </bottom>
      <diagonal/>
    </border>
    <border>
      <left/>
      <right/>
      <top style="thin">
        <color indexed="64"/>
      </top>
      <bottom style="thin">
        <color indexed="64"/>
      </bottom>
      <diagonal/>
    </border>
    <border>
      <left/>
      <right style="hair">
        <color theme="0" tint="-0.24994659260841701"/>
      </right>
      <top style="thin">
        <color rgb="FF000000"/>
      </top>
      <bottom/>
      <diagonal/>
    </border>
    <border>
      <left style="thin">
        <color indexed="8"/>
      </left>
      <right style="thin">
        <color indexed="8"/>
      </right>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hair">
        <color theme="0" tint="-0.24994659260841701"/>
      </left>
      <right style="hair">
        <color theme="0" tint="-0.24994659260841701"/>
      </right>
      <top style="thin">
        <color rgb="FF000000"/>
      </top>
      <bottom style="thin">
        <color rgb="FF000000"/>
      </bottom>
      <diagonal/>
    </border>
    <border>
      <left style="hair">
        <color theme="0" tint="-0.24994659260841701"/>
      </left>
      <right style="hair">
        <color theme="0" tint="-0.24994659260841701"/>
      </right>
      <top style="thin">
        <color rgb="FF000000"/>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bottom style="thin">
        <color indexed="64"/>
      </bottom>
      <diagonal/>
    </border>
    <border>
      <left/>
      <right style="hair">
        <color theme="0" tint="-0.24994659260841701"/>
      </right>
      <top/>
      <bottom style="thin">
        <color indexed="64"/>
      </bottom>
      <diagonal/>
    </border>
    <border>
      <left style="hair">
        <color theme="0" tint="-0.24994659260841701"/>
      </left>
      <right/>
      <top style="thin">
        <color rgb="FF000000"/>
      </top>
      <bottom style="thin">
        <color indexed="64"/>
      </bottom>
      <diagonal/>
    </border>
    <border>
      <left/>
      <right style="hair">
        <color theme="0" tint="-0.24994659260841701"/>
      </right>
      <top style="thin">
        <color rgb="FF000000"/>
      </top>
      <bottom style="thin">
        <color indexed="64"/>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hair">
        <color theme="0" tint="-0.24994659260841701"/>
      </right>
      <top style="thin">
        <color indexed="64"/>
      </top>
      <bottom style="thin">
        <color indexed="64"/>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style="hair">
        <color theme="0" tint="-0.24994659260841701"/>
      </right>
      <top/>
      <bottom/>
      <diagonal/>
    </border>
    <border>
      <left style="thin">
        <color indexed="8"/>
      </left>
      <right/>
      <top style="thin">
        <color rgb="FF000000"/>
      </top>
      <bottom style="thin">
        <color indexed="8"/>
      </bottom>
      <diagonal/>
    </border>
    <border>
      <left style="thin">
        <color indexed="8"/>
      </left>
      <right/>
      <top style="thin">
        <color indexed="8"/>
      </top>
      <bottom style="thin">
        <color rgb="FF000000"/>
      </bottom>
      <diagonal/>
    </border>
    <border>
      <left style="thin">
        <color indexed="8"/>
      </left>
      <right style="thin">
        <color indexed="8"/>
      </right>
      <top style="thin">
        <color rgb="FF000000"/>
      </top>
      <bottom style="hair">
        <color rgb="FFC0C0C0"/>
      </bottom>
      <diagonal/>
    </border>
    <border>
      <left style="thin">
        <color indexed="8"/>
      </left>
      <right style="thin">
        <color indexed="8"/>
      </right>
      <top style="hair">
        <color rgb="FFC0C0C0"/>
      </top>
      <bottom style="thin">
        <color rgb="FF000000"/>
      </bottom>
      <diagonal/>
    </border>
    <border>
      <left style="hair">
        <color theme="0" tint="-0.24994659260841701"/>
      </left>
      <right style="hair">
        <color theme="0" tint="-0.24994659260841701"/>
      </right>
      <top style="hair">
        <color rgb="FFD0D1D2"/>
      </top>
      <bottom style="thin">
        <color indexed="64"/>
      </bottom>
      <diagonal/>
    </border>
    <border>
      <left/>
      <right/>
      <top style="hair">
        <color rgb="FFD0D1D2"/>
      </top>
      <bottom style="thin">
        <color indexed="64"/>
      </bottom>
      <diagonal/>
    </border>
    <border>
      <left/>
      <right/>
      <top/>
      <bottom style="thin">
        <color indexed="64"/>
      </bottom>
      <diagonal/>
    </border>
    <border>
      <left/>
      <right style="hair">
        <color rgb="FFD0D1D2"/>
      </right>
      <top/>
      <bottom style="thin">
        <color indexed="64"/>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right/>
      <top/>
      <bottom style="thin">
        <color rgb="FF000000"/>
      </bottom>
      <diagonal/>
    </border>
    <border>
      <left style="hair">
        <color theme="0" tint="-0.24994659260841701"/>
      </left>
      <right style="hair">
        <color theme="0" tint="-0.24994659260841701"/>
      </right>
      <top style="thin">
        <color indexed="64"/>
      </top>
      <bottom/>
      <diagonal/>
    </border>
    <border>
      <left style="hair">
        <color theme="0" tint="-0.24994659260841701"/>
      </left>
      <right style="hair">
        <color theme="0" tint="-0.24994659260841701"/>
      </right>
      <top/>
      <bottom style="thin">
        <color rgb="FF000000"/>
      </bottom>
      <diagonal/>
    </border>
  </borders>
  <cellStyleXfs count="106">
    <xf numFmtId="0" fontId="0"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6" fillId="0" borderId="0"/>
    <xf numFmtId="165" fontId="7" fillId="0" borderId="0" applyFill="0" applyBorder="0" applyProtection="0">
      <alignment horizontal="right"/>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0" borderId="0" applyNumberFormat="0" applyFill="0" applyBorder="0" applyAlignment="0" applyProtection="0"/>
    <xf numFmtId="0" fontId="10" fillId="0" borderId="0"/>
    <xf numFmtId="0" fontId="1" fillId="0" borderId="0" applyNumberFormat="0" applyFill="0" applyBorder="0" applyProtection="0">
      <alignment vertical="center"/>
    </xf>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5"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5" borderId="0" applyNumberFormat="0" applyBorder="0" applyAlignment="0" applyProtection="0"/>
    <xf numFmtId="0" fontId="25" fillId="26" borderId="43" applyNumberFormat="0" applyAlignment="0" applyProtection="0"/>
    <xf numFmtId="0" fontId="26" fillId="9" borderId="0" applyNumberFormat="0" applyBorder="0" applyAlignment="0" applyProtection="0"/>
    <xf numFmtId="0" fontId="27" fillId="26" borderId="44" applyNumberFormat="0" applyAlignment="0" applyProtection="0"/>
    <xf numFmtId="0" fontId="27" fillId="26" borderId="44" applyNumberFormat="0" applyAlignment="0" applyProtection="0"/>
    <xf numFmtId="0" fontId="28" fillId="27" borderId="45" applyNumberFormat="0" applyAlignment="0" applyProtection="0"/>
    <xf numFmtId="43" fontId="23" fillId="0" borderId="0" applyFont="0" applyFill="0" applyBorder="0" applyAlignment="0" applyProtection="0"/>
    <xf numFmtId="0" fontId="4" fillId="28" borderId="0" applyNumberFormat="0" applyFont="0" applyBorder="0" applyAlignment="0" applyProtection="0"/>
    <xf numFmtId="0" fontId="29" fillId="13" borderId="44" applyNumberFormat="0" applyAlignment="0" applyProtection="0"/>
    <xf numFmtId="0" fontId="30" fillId="0" borderId="46" applyNumberFormat="0" applyFill="0" applyAlignment="0" applyProtection="0"/>
    <xf numFmtId="0" fontId="31" fillId="0" borderId="0" applyNumberFormat="0" applyFill="0" applyBorder="0" applyAlignment="0" applyProtection="0"/>
    <xf numFmtId="171" fontId="4" fillId="0" borderId="0" applyFont="0" applyFill="0" applyBorder="0" applyAlignment="0" applyProtection="0"/>
    <xf numFmtId="0" fontId="4" fillId="0" borderId="0"/>
    <xf numFmtId="0" fontId="31" fillId="0" borderId="0" applyNumberFormat="0" applyFill="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0" borderId="47" applyNumberFormat="0" applyFill="0" applyAlignment="0" applyProtection="0"/>
    <xf numFmtId="0" fontId="34" fillId="0" borderId="48" applyNumberFormat="0" applyFill="0" applyAlignment="0" applyProtection="0"/>
    <xf numFmtId="0" fontId="35" fillId="0" borderId="49" applyNumberFormat="0" applyFill="0" applyAlignment="0" applyProtection="0"/>
    <xf numFmtId="0" fontId="35" fillId="0" borderId="0" applyNumberFormat="0" applyFill="0" applyBorder="0" applyAlignment="0" applyProtection="0"/>
    <xf numFmtId="0" fontId="29" fillId="13" borderId="44" applyNumberFormat="0" applyAlignment="0" applyProtection="0"/>
    <xf numFmtId="0" fontId="36" fillId="0" borderId="50" applyNumberFormat="0" applyFill="0" applyAlignment="0" applyProtection="0"/>
    <xf numFmtId="0" fontId="37" fillId="29" borderId="0" applyNumberFormat="0" applyBorder="0" applyAlignment="0" applyProtection="0"/>
    <xf numFmtId="0" fontId="4" fillId="0" borderId="0" applyNumberFormat="0" applyFont="0" applyFill="0" applyBorder="0" applyAlignment="0" applyProtection="0"/>
    <xf numFmtId="0" fontId="4" fillId="0" borderId="0"/>
    <xf numFmtId="0" fontId="4" fillId="30" borderId="51" applyNumberFormat="0" applyFont="0" applyAlignment="0" applyProtection="0"/>
    <xf numFmtId="0" fontId="4" fillId="30" borderId="51" applyNumberFormat="0" applyFont="0" applyAlignment="0" applyProtection="0"/>
    <xf numFmtId="0" fontId="25" fillId="26" borderId="43" applyNumberFormat="0" applyAlignment="0" applyProtection="0"/>
    <xf numFmtId="0" fontId="26" fillId="9" borderId="0" applyNumberFormat="0" applyBorder="0" applyAlignment="0" applyProtection="0"/>
    <xf numFmtId="0" fontId="38" fillId="0" borderId="0" applyNumberFormat="0" applyFill="0" applyBorder="0" applyAlignment="0" applyProtection="0"/>
    <xf numFmtId="0" fontId="30" fillId="0" borderId="46" applyNumberFormat="0" applyFill="0" applyAlignment="0" applyProtection="0"/>
    <xf numFmtId="0" fontId="38" fillId="0" borderId="0" applyNumberFormat="0" applyFill="0" applyBorder="0" applyAlignment="0" applyProtection="0"/>
    <xf numFmtId="0" fontId="33" fillId="0" borderId="47" applyNumberFormat="0" applyFill="0" applyAlignment="0" applyProtection="0"/>
    <xf numFmtId="0" fontId="34" fillId="0" borderId="48" applyNumberFormat="0" applyFill="0" applyAlignment="0" applyProtection="0"/>
    <xf numFmtId="0" fontId="35" fillId="0" borderId="49" applyNumberFormat="0" applyFill="0" applyAlignment="0" applyProtection="0"/>
    <xf numFmtId="0" fontId="35" fillId="0" borderId="0" applyNumberFormat="0" applyFill="0" applyBorder="0" applyAlignment="0" applyProtection="0"/>
    <xf numFmtId="0" fontId="36" fillId="0" borderId="50"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8" fillId="27" borderId="45" applyNumberFormat="0" applyAlignment="0" applyProtection="0"/>
    <xf numFmtId="0" fontId="21" fillId="0" borderId="0"/>
  </cellStyleXfs>
  <cellXfs count="296">
    <xf numFmtId="0" fontId="0" fillId="0" borderId="0" xfId="0"/>
    <xf numFmtId="0" fontId="1" fillId="0" borderId="0" xfId="0" applyFont="1"/>
    <xf numFmtId="0" fontId="1" fillId="0" borderId="0" xfId="0" applyFont="1" applyFill="1"/>
    <xf numFmtId="0" fontId="7" fillId="0" borderId="0" xfId="0" applyFont="1"/>
    <xf numFmtId="0" fontId="1" fillId="0" borderId="0" xfId="0" applyFont="1" applyFill="1" applyBorder="1"/>
    <xf numFmtId="0" fontId="1" fillId="0" borderId="0" xfId="0" applyFont="1" applyFill="1" applyBorder="1" applyAlignment="1">
      <alignment vertical="center"/>
    </xf>
    <xf numFmtId="0" fontId="2" fillId="0" borderId="0" xfId="0" applyFont="1" applyFill="1" applyBorder="1"/>
    <xf numFmtId="0" fontId="7" fillId="0" borderId="0" xfId="0" applyFont="1" applyAlignment="1">
      <alignment horizontal="left"/>
    </xf>
    <xf numFmtId="0" fontId="3" fillId="3" borderId="6"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167" fontId="1" fillId="0" borderId="0" xfId="0" applyNumberFormat="1" applyFont="1" applyFill="1" applyBorder="1" applyAlignment="1">
      <alignment horizontal="center" vertical="center"/>
    </xf>
    <xf numFmtId="0" fontId="1" fillId="0" borderId="0" xfId="0" applyNumberFormat="1" applyFont="1" applyFill="1" applyBorder="1" applyAlignment="1"/>
    <xf numFmtId="167" fontId="7" fillId="0" borderId="0" xfId="0" applyNumberFormat="1" applyFont="1"/>
    <xf numFmtId="0" fontId="7" fillId="0" borderId="19" xfId="0" applyFont="1" applyBorder="1"/>
    <xf numFmtId="0" fontId="7" fillId="0" borderId="20" xfId="0" applyFont="1" applyBorder="1"/>
    <xf numFmtId="0" fontId="7" fillId="0" borderId="0" xfId="0" applyFont="1" applyBorder="1"/>
    <xf numFmtId="0" fontId="7" fillId="0" borderId="21" xfId="0" applyFont="1" applyBorder="1"/>
    <xf numFmtId="0" fontId="7" fillId="0" borderId="22" xfId="0" applyFont="1" applyBorder="1"/>
    <xf numFmtId="0" fontId="7" fillId="0" borderId="23" xfId="0" applyFont="1" applyBorder="1"/>
    <xf numFmtId="0" fontId="7" fillId="0" borderId="17" xfId="0" applyFont="1" applyBorder="1"/>
    <xf numFmtId="0" fontId="7" fillId="0" borderId="18" xfId="0" applyFont="1" applyBorder="1"/>
    <xf numFmtId="0" fontId="8" fillId="0" borderId="0" xfId="0" applyFont="1" applyBorder="1" applyAlignment="1">
      <alignment horizontal="left"/>
    </xf>
    <xf numFmtId="0" fontId="7" fillId="0" borderId="0" xfId="0" applyFont="1" applyBorder="1" applyAlignment="1">
      <alignment horizontal="left"/>
    </xf>
    <xf numFmtId="0" fontId="7" fillId="0" borderId="39" xfId="0" applyFont="1" applyBorder="1"/>
    <xf numFmtId="167" fontId="7" fillId="0" borderId="39" xfId="0" applyNumberFormat="1" applyFont="1" applyBorder="1"/>
    <xf numFmtId="0" fontId="7" fillId="4" borderId="0" xfId="0" applyFont="1" applyFill="1"/>
    <xf numFmtId="0" fontId="8" fillId="5" borderId="0" xfId="0" applyFont="1" applyFill="1"/>
    <xf numFmtId="0" fontId="7" fillId="5" borderId="0" xfId="0" applyFont="1" applyFill="1"/>
    <xf numFmtId="0" fontId="11" fillId="5" borderId="0" xfId="0" applyFont="1" applyFill="1" applyAlignment="1">
      <alignment vertical="center"/>
    </xf>
    <xf numFmtId="0" fontId="12" fillId="5" borderId="0" xfId="0" applyFont="1" applyFill="1"/>
    <xf numFmtId="0" fontId="11" fillId="5" borderId="0" xfId="0" applyFont="1" applyFill="1"/>
    <xf numFmtId="0" fontId="7" fillId="6" borderId="0" xfId="0" applyFont="1" applyFill="1"/>
    <xf numFmtId="0" fontId="13" fillId="5" borderId="0" xfId="15" applyFont="1" applyFill="1"/>
    <xf numFmtId="0" fontId="7" fillId="0" borderId="0" xfId="0" applyFont="1" applyFill="1"/>
    <xf numFmtId="0" fontId="11" fillId="0" borderId="0" xfId="0" applyFont="1"/>
    <xf numFmtId="0" fontId="8" fillId="0" borderId="0" xfId="0" applyFont="1"/>
    <xf numFmtId="17" fontId="7" fillId="0" borderId="0" xfId="0" quotePrefix="1" applyNumberFormat="1" applyFont="1"/>
    <xf numFmtId="0" fontId="14" fillId="0" borderId="0" xfId="0" applyFont="1"/>
    <xf numFmtId="0" fontId="13" fillId="0" borderId="0" xfId="15" applyFont="1"/>
    <xf numFmtId="0" fontId="7" fillId="0" borderId="0" xfId="0" applyFont="1" applyAlignment="1">
      <alignment vertical="top" wrapText="1"/>
    </xf>
    <xf numFmtId="0" fontId="12" fillId="4" borderId="0" xfId="0" applyFont="1" applyFill="1" applyAlignment="1">
      <alignment vertical="top"/>
    </xf>
    <xf numFmtId="0" fontId="7" fillId="4" borderId="0" xfId="0" applyFont="1" applyFill="1" applyAlignment="1">
      <alignment horizontal="left"/>
    </xf>
    <xf numFmtId="0" fontId="7" fillId="4" borderId="0" xfId="0" applyFont="1" applyFill="1" applyAlignment="1">
      <alignment horizontal="left" vertical="top" wrapText="1"/>
    </xf>
    <xf numFmtId="0" fontId="12" fillId="0" borderId="0" xfId="0" applyFont="1" applyFill="1" applyAlignment="1">
      <alignment vertical="top"/>
    </xf>
    <xf numFmtId="0" fontId="7" fillId="0" borderId="0" xfId="0" applyFont="1" applyFill="1" applyAlignment="1">
      <alignment horizontal="left"/>
    </xf>
    <xf numFmtId="0" fontId="7" fillId="0" borderId="0" xfId="0" applyFont="1" applyFill="1" applyAlignment="1">
      <alignment horizontal="left" vertical="top" wrapText="1"/>
    </xf>
    <xf numFmtId="0" fontId="11" fillId="0" borderId="0" xfId="0" applyFont="1" applyAlignment="1">
      <alignment vertical="top"/>
    </xf>
    <xf numFmtId="0" fontId="15" fillId="0" borderId="0" xfId="15" applyFont="1"/>
    <xf numFmtId="0" fontId="12" fillId="0" borderId="0" xfId="0" applyFont="1"/>
    <xf numFmtId="49" fontId="7" fillId="0" borderId="0" xfId="0" applyNumberFormat="1" applyFont="1"/>
    <xf numFmtId="0" fontId="8" fillId="0" borderId="0" xfId="0" applyFont="1" applyAlignment="1">
      <alignment horizontal="left"/>
    </xf>
    <xf numFmtId="0" fontId="16" fillId="0" borderId="0" xfId="0" applyFont="1" applyFill="1" applyBorder="1"/>
    <xf numFmtId="0" fontId="3" fillId="0" borderId="5" xfId="0" applyFont="1" applyFill="1" applyBorder="1" applyAlignment="1">
      <alignment horizontal="left" vertical="center"/>
    </xf>
    <xf numFmtId="167" fontId="1" fillId="0" borderId="4" xfId="0" applyNumberFormat="1" applyFont="1" applyFill="1" applyBorder="1" applyAlignment="1">
      <alignment horizontal="center" vertical="center"/>
    </xf>
    <xf numFmtId="167" fontId="1" fillId="0" borderId="3" xfId="0" applyNumberFormat="1" applyFont="1" applyFill="1" applyBorder="1" applyAlignment="1">
      <alignment horizontal="center" vertical="center"/>
    </xf>
    <xf numFmtId="167" fontId="3" fillId="0" borderId="4" xfId="0" applyNumberFormat="1" applyFont="1" applyFill="1" applyBorder="1" applyAlignment="1">
      <alignment horizontal="left" vertical="center"/>
    </xf>
    <xf numFmtId="167" fontId="3" fillId="0" borderId="8" xfId="0" applyNumberFormat="1" applyFont="1" applyFill="1" applyBorder="1" applyAlignment="1">
      <alignment horizontal="left" vertical="center"/>
    </xf>
    <xf numFmtId="167" fontId="3" fillId="0" borderId="40" xfId="0" applyNumberFormat="1" applyFont="1" applyFill="1" applyBorder="1" applyAlignment="1">
      <alignment horizontal="left" vertical="center"/>
    </xf>
    <xf numFmtId="167" fontId="1" fillId="0" borderId="40" xfId="0" applyNumberFormat="1" applyFont="1" applyFill="1" applyBorder="1" applyAlignment="1">
      <alignment horizontal="center" vertical="center"/>
    </xf>
    <xf numFmtId="3" fontId="3" fillId="0" borderId="37" xfId="0" applyNumberFormat="1" applyFont="1" applyFill="1" applyBorder="1" applyAlignment="1">
      <alignment horizontal="left" vertical="center"/>
    </xf>
    <xf numFmtId="3" fontId="1" fillId="0" borderId="11" xfId="0" applyNumberFormat="1" applyFont="1" applyFill="1" applyBorder="1" applyAlignment="1">
      <alignment horizontal="center" vertical="center"/>
    </xf>
    <xf numFmtId="3" fontId="1" fillId="0" borderId="38" xfId="0" applyNumberFormat="1" applyFont="1" applyFill="1" applyBorder="1" applyAlignment="1">
      <alignment horizontal="center" vertical="center"/>
    </xf>
    <xf numFmtId="3" fontId="1" fillId="0" borderId="37" xfId="0" applyNumberFormat="1" applyFont="1" applyFill="1" applyBorder="1" applyAlignment="1">
      <alignment horizontal="center" vertical="center"/>
    </xf>
    <xf numFmtId="3" fontId="3" fillId="0" borderId="9" xfId="0" applyNumberFormat="1" applyFont="1" applyFill="1" applyBorder="1" applyAlignment="1">
      <alignment horizontal="left" vertical="center"/>
    </xf>
    <xf numFmtId="3" fontId="1" fillId="0" borderId="4" xfId="0" applyNumberFormat="1" applyFont="1" applyFill="1" applyBorder="1" applyAlignment="1">
      <alignment horizontal="center" vertical="center"/>
    </xf>
    <xf numFmtId="3" fontId="1" fillId="0" borderId="9" xfId="0" applyNumberFormat="1" applyFont="1" applyFill="1" applyBorder="1" applyAlignment="1">
      <alignment horizontal="center" vertical="center"/>
    </xf>
    <xf numFmtId="3" fontId="1" fillId="0" borderId="3" xfId="0" applyNumberFormat="1" applyFont="1" applyFill="1" applyBorder="1" applyAlignment="1">
      <alignment horizontal="center" vertical="center"/>
    </xf>
    <xf numFmtId="3" fontId="3" fillId="0" borderId="10" xfId="0" applyNumberFormat="1" applyFont="1" applyFill="1" applyBorder="1" applyAlignment="1">
      <alignment horizontal="left" vertical="center"/>
    </xf>
    <xf numFmtId="3" fontId="1" fillId="0" borderId="7" xfId="0" applyNumberFormat="1" applyFont="1" applyFill="1" applyBorder="1" applyAlignment="1">
      <alignment horizontal="center" vertical="center"/>
    </xf>
    <xf numFmtId="3" fontId="3" fillId="0" borderId="40" xfId="0" applyNumberFormat="1" applyFont="1" applyFill="1" applyBorder="1" applyAlignment="1">
      <alignment horizontal="left" vertical="center"/>
    </xf>
    <xf numFmtId="3" fontId="1" fillId="0" borderId="40" xfId="0" applyNumberFormat="1" applyFont="1" applyFill="1" applyBorder="1" applyAlignment="1">
      <alignment horizontal="center" vertical="center"/>
    </xf>
    <xf numFmtId="3" fontId="7" fillId="0" borderId="0" xfId="0" applyNumberFormat="1" applyFont="1"/>
    <xf numFmtId="0" fontId="18" fillId="0" borderId="0" xfId="0" applyFont="1" applyAlignment="1"/>
    <xf numFmtId="0" fontId="18" fillId="0" borderId="0" xfId="0" applyFont="1" applyFill="1" applyAlignment="1"/>
    <xf numFmtId="0" fontId="19" fillId="0" borderId="0" xfId="0" applyFont="1"/>
    <xf numFmtId="0" fontId="3" fillId="0" borderId="3" xfId="0" applyFont="1" applyFill="1" applyBorder="1" applyAlignment="1">
      <alignment horizontal="left" vertical="center"/>
    </xf>
    <xf numFmtId="164" fontId="1" fillId="0" borderId="4" xfId="0" applyNumberFormat="1" applyFont="1" applyFill="1" applyBorder="1" applyAlignment="1">
      <alignment horizontal="center" vertical="center"/>
    </xf>
    <xf numFmtId="0" fontId="3" fillId="0" borderId="5" xfId="0" applyFont="1" applyFill="1" applyBorder="1" applyAlignment="1">
      <alignment horizontal="left" vertical="center" wrapText="1"/>
    </xf>
    <xf numFmtId="0" fontId="16" fillId="0" borderId="0" xfId="0" applyFont="1" applyFill="1" applyBorder="1" applyAlignment="1">
      <alignment horizontal="left" vertical="top"/>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16" fillId="0" borderId="0" xfId="0" applyFont="1" applyFill="1" applyBorder="1" applyAlignment="1">
      <alignment horizontal="left"/>
    </xf>
    <xf numFmtId="166" fontId="1" fillId="0" borderId="0" xfId="0" quotePrefix="1" applyNumberFormat="1" applyFont="1" applyFill="1" applyBorder="1" applyAlignment="1"/>
    <xf numFmtId="0" fontId="1" fillId="2" borderId="1" xfId="10" applyNumberFormat="1" applyFont="1" applyFill="1" applyBorder="1" applyAlignment="1"/>
    <xf numFmtId="0" fontId="1" fillId="2" borderId="1" xfId="0" applyNumberFormat="1" applyFont="1" applyFill="1" applyBorder="1" applyAlignment="1"/>
    <xf numFmtId="3" fontId="1" fillId="0" borderId="1" xfId="0" applyNumberFormat="1" applyFont="1" applyFill="1" applyBorder="1" applyAlignment="1"/>
    <xf numFmtId="0" fontId="1" fillId="0" borderId="0" xfId="10" applyNumberFormat="1" applyFont="1" applyFill="1" applyBorder="1" applyAlignment="1"/>
    <xf numFmtId="0" fontId="1" fillId="0" borderId="0" xfId="10" applyFont="1" applyBorder="1"/>
    <xf numFmtId="0" fontId="1" fillId="0" borderId="22" xfId="10" applyNumberFormat="1" applyFont="1" applyFill="1" applyBorder="1" applyAlignment="1"/>
    <xf numFmtId="0" fontId="3" fillId="3" borderId="2" xfId="0" applyFont="1" applyFill="1" applyBorder="1" applyAlignment="1">
      <alignment horizontal="center" vertical="center"/>
    </xf>
    <xf numFmtId="0" fontId="3" fillId="3" borderId="6"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0" borderId="41" xfId="0" applyFont="1" applyFill="1" applyBorder="1" applyAlignment="1">
      <alignment horizontal="left" vertical="center"/>
    </xf>
    <xf numFmtId="0" fontId="3" fillId="0" borderId="24" xfId="0" applyFont="1" applyFill="1" applyBorder="1" applyAlignment="1">
      <alignment horizontal="left" vertical="center"/>
    </xf>
    <xf numFmtId="167" fontId="3" fillId="0" borderId="25" xfId="0" applyNumberFormat="1" applyFont="1" applyFill="1" applyBorder="1" applyAlignment="1">
      <alignment horizontal="left" vertical="center"/>
    </xf>
    <xf numFmtId="3" fontId="1" fillId="0" borderId="25" xfId="0" applyNumberFormat="1" applyFont="1" applyFill="1" applyBorder="1" applyAlignment="1">
      <alignment horizontal="center" vertical="center"/>
    </xf>
    <xf numFmtId="3" fontId="1" fillId="0" borderId="26" xfId="0" applyNumberFormat="1" applyFont="1" applyFill="1" applyBorder="1" applyAlignment="1">
      <alignment horizontal="center" vertical="center"/>
    </xf>
    <xf numFmtId="0" fontId="3" fillId="0" borderId="27" xfId="0" applyFont="1" applyFill="1" applyBorder="1" applyAlignment="1">
      <alignment horizontal="left" vertical="center"/>
    </xf>
    <xf numFmtId="167" fontId="3" fillId="0" borderId="28" xfId="0" applyNumberFormat="1" applyFont="1" applyFill="1" applyBorder="1" applyAlignment="1">
      <alignment horizontal="left" vertical="center"/>
    </xf>
    <xf numFmtId="3" fontId="1" fillId="0" borderId="28" xfId="0" applyNumberFormat="1" applyFont="1" applyFill="1" applyBorder="1" applyAlignment="1">
      <alignment horizontal="center" vertical="center"/>
    </xf>
    <xf numFmtId="3" fontId="1" fillId="0" borderId="29" xfId="0" applyNumberFormat="1" applyFont="1" applyFill="1" applyBorder="1" applyAlignment="1">
      <alignment horizontal="center" vertical="center"/>
    </xf>
    <xf numFmtId="0" fontId="3" fillId="0" borderId="33" xfId="0" applyFont="1" applyFill="1" applyBorder="1" applyAlignment="1">
      <alignment horizontal="left" vertical="center"/>
    </xf>
    <xf numFmtId="167" fontId="3" fillId="0" borderId="34" xfId="0" applyNumberFormat="1" applyFont="1" applyFill="1" applyBorder="1" applyAlignment="1">
      <alignment horizontal="left" vertical="center"/>
    </xf>
    <xf numFmtId="3" fontId="1" fillId="0" borderId="31" xfId="0" applyNumberFormat="1" applyFont="1" applyFill="1" applyBorder="1" applyAlignment="1">
      <alignment horizontal="center" vertical="center"/>
    </xf>
    <xf numFmtId="3" fontId="1" fillId="0" borderId="32"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25" xfId="0" applyNumberFormat="1" applyFont="1" applyFill="1" applyBorder="1" applyAlignment="1">
      <alignment horizontal="center" vertical="center"/>
    </xf>
    <xf numFmtId="164" fontId="1" fillId="0" borderId="28" xfId="0" applyNumberFormat="1" applyFont="1" applyFill="1" applyBorder="1" applyAlignment="1">
      <alignment horizontal="center" vertical="center"/>
    </xf>
    <xf numFmtId="0" fontId="3" fillId="0" borderId="28" xfId="0" applyFont="1" applyFill="1" applyBorder="1" applyAlignment="1">
      <alignment horizontal="left" vertical="center"/>
    </xf>
    <xf numFmtId="0" fontId="8" fillId="0" borderId="27" xfId="0" applyFont="1" applyBorder="1"/>
    <xf numFmtId="0" fontId="8" fillId="0" borderId="30" xfId="0" applyFont="1" applyBorder="1"/>
    <xf numFmtId="167" fontId="3" fillId="0" borderId="31" xfId="0" applyNumberFormat="1" applyFont="1" applyFill="1" applyBorder="1" applyAlignment="1">
      <alignment horizontal="left" vertical="center"/>
    </xf>
    <xf numFmtId="164" fontId="1" fillId="0" borderId="31" xfId="0" applyNumberFormat="1" applyFont="1" applyFill="1" applyBorder="1" applyAlignment="1">
      <alignment horizontal="center" vertical="center"/>
    </xf>
    <xf numFmtId="0" fontId="1" fillId="0" borderId="22" xfId="0" applyFont="1" applyFill="1" applyBorder="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8" fillId="0" borderId="16" xfId="0" applyFont="1" applyBorder="1"/>
    <xf numFmtId="0" fontId="20" fillId="0" borderId="17" xfId="0" applyFont="1" applyBorder="1"/>
    <xf numFmtId="3" fontId="1" fillId="0" borderId="1" xfId="16" applyNumberFormat="1" applyFont="1" applyFill="1" applyBorder="1" applyAlignment="1"/>
    <xf numFmtId="0" fontId="1" fillId="0" borderId="1" xfId="16" applyNumberFormat="1" applyFont="1" applyFill="1" applyBorder="1" applyAlignment="1"/>
    <xf numFmtId="0" fontId="1" fillId="2" borderId="1" xfId="16" applyNumberFormat="1" applyFont="1" applyFill="1" applyBorder="1" applyAlignment="1"/>
    <xf numFmtId="0" fontId="3" fillId="0" borderId="5" xfId="0" applyFont="1" applyFill="1" applyBorder="1" applyAlignment="1">
      <alignment vertical="center"/>
    </xf>
    <xf numFmtId="0" fontId="3" fillId="0" borderId="3" xfId="0" applyFont="1" applyFill="1" applyBorder="1" applyAlignment="1">
      <alignment vertical="center"/>
    </xf>
    <xf numFmtId="167" fontId="3" fillId="0" borderId="4" xfId="0" applyNumberFormat="1" applyFont="1" applyFill="1" applyBorder="1" applyAlignment="1">
      <alignment vertical="center"/>
    </xf>
    <xf numFmtId="3" fontId="1" fillId="0" borderId="4" xfId="0" applyNumberFormat="1" applyFont="1" applyFill="1" applyBorder="1" applyAlignment="1">
      <alignment horizontal="right" vertical="center"/>
    </xf>
    <xf numFmtId="0" fontId="8" fillId="0" borderId="9" xfId="0" applyFont="1" applyBorder="1" applyAlignment="1"/>
    <xf numFmtId="0" fontId="8" fillId="0" borderId="15" xfId="0" applyFont="1" applyFill="1" applyBorder="1" applyAlignment="1"/>
    <xf numFmtId="167" fontId="3" fillId="0" borderId="15" xfId="0" applyNumberFormat="1" applyFont="1" applyFill="1" applyBorder="1" applyAlignment="1">
      <alignment vertical="center"/>
    </xf>
    <xf numFmtId="3" fontId="7" fillId="0" borderId="9" xfId="0" applyNumberFormat="1" applyFont="1" applyBorder="1"/>
    <xf numFmtId="0" fontId="8" fillId="0" borderId="15" xfId="0" applyFont="1" applyBorder="1" applyAlignment="1"/>
    <xf numFmtId="0" fontId="8" fillId="0" borderId="15" xfId="0" applyFont="1" applyBorder="1"/>
    <xf numFmtId="3" fontId="1" fillId="0" borderId="14" xfId="0" applyNumberFormat="1" applyFont="1" applyFill="1" applyBorder="1" applyAlignment="1">
      <alignment horizontal="right" vertical="center"/>
    </xf>
    <xf numFmtId="0" fontId="8" fillId="0" borderId="35" xfId="0" applyFont="1" applyBorder="1"/>
    <xf numFmtId="0" fontId="8" fillId="0" borderId="36" xfId="0" applyFont="1" applyBorder="1" applyAlignment="1"/>
    <xf numFmtId="167" fontId="3" fillId="0" borderId="28" xfId="0" applyNumberFormat="1" applyFont="1" applyFill="1" applyBorder="1" applyAlignment="1">
      <alignment vertical="center"/>
    </xf>
    <xf numFmtId="3" fontId="1" fillId="0" borderId="28" xfId="0" applyNumberFormat="1" applyFont="1" applyFill="1" applyBorder="1" applyAlignment="1">
      <alignment horizontal="right" vertical="center"/>
    </xf>
    <xf numFmtId="3" fontId="1" fillId="0" borderId="29" xfId="0" applyNumberFormat="1" applyFont="1" applyFill="1" applyBorder="1" applyAlignment="1">
      <alignment horizontal="right" vertical="center"/>
    </xf>
    <xf numFmtId="0" fontId="8" fillId="0" borderId="28" xfId="0" applyFont="1" applyBorder="1" applyAlignment="1"/>
    <xf numFmtId="0" fontId="8" fillId="0" borderId="31" xfId="0" applyFont="1" applyBorder="1" applyAlignment="1"/>
    <xf numFmtId="3" fontId="1" fillId="0" borderId="31" xfId="0" applyNumberFormat="1" applyFont="1" applyFill="1" applyBorder="1" applyAlignment="1">
      <alignment horizontal="right" vertical="center"/>
    </xf>
    <xf numFmtId="3" fontId="1" fillId="0" borderId="32" xfId="0" applyNumberFormat="1" applyFont="1" applyFill="1" applyBorder="1" applyAlignment="1">
      <alignment horizontal="right" vertical="center"/>
    </xf>
    <xf numFmtId="168" fontId="1" fillId="0" borderId="4" xfId="0" applyNumberFormat="1" applyFont="1" applyFill="1" applyBorder="1" applyAlignment="1">
      <alignment horizontal="right" vertical="center"/>
    </xf>
    <xf numFmtId="0" fontId="8" fillId="0" borderId="22" xfId="0" applyFont="1" applyBorder="1"/>
    <xf numFmtId="168" fontId="7" fillId="0" borderId="0" xfId="0" applyNumberFormat="1" applyFont="1"/>
    <xf numFmtId="0" fontId="16" fillId="0" borderId="0" xfId="0" applyFont="1" applyFill="1" applyBorder="1" applyAlignment="1">
      <alignment horizontal="left" vertical="top"/>
    </xf>
    <xf numFmtId="0" fontId="3" fillId="3" borderId="6"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3" fontId="1" fillId="0" borderId="0" xfId="0" applyNumberFormat="1" applyFont="1" applyFill="1" applyBorder="1" applyAlignment="1"/>
    <xf numFmtId="166" fontId="1" fillId="0" borderId="0" xfId="2" applyNumberFormat="1" applyFont="1" applyFill="1" applyBorder="1" applyAlignment="1"/>
    <xf numFmtId="168" fontId="1" fillId="0" borderId="1" xfId="2" applyNumberFormat="1" applyFont="1" applyFill="1" applyBorder="1" applyAlignment="1"/>
    <xf numFmtId="0" fontId="1" fillId="0" borderId="1" xfId="2" applyNumberFormat="1" applyFont="1" applyFill="1" applyBorder="1" applyAlignment="1"/>
    <xf numFmtId="0" fontId="1" fillId="2" borderId="1" xfId="2" applyNumberFormat="1" applyFont="1" applyFill="1" applyBorder="1" applyAlignment="1"/>
    <xf numFmtId="0" fontId="1" fillId="0" borderId="0" xfId="2" applyNumberFormat="1" applyFont="1" applyFill="1" applyBorder="1" applyAlignment="1"/>
    <xf numFmtId="3" fontId="1" fillId="0" borderId="0" xfId="16" applyNumberFormat="1" applyFont="1" applyFill="1" applyBorder="1" applyAlignment="1"/>
    <xf numFmtId="0" fontId="1" fillId="0" borderId="0" xfId="16" applyNumberFormat="1" applyFont="1" applyFill="1" applyBorder="1" applyAlignment="1"/>
    <xf numFmtId="0" fontId="20" fillId="0" borderId="0" xfId="0" applyFont="1" applyBorder="1"/>
    <xf numFmtId="0" fontId="5" fillId="0" borderId="0" xfId="2"/>
    <xf numFmtId="0" fontId="4" fillId="0" borderId="0" xfId="2" applyNumberFormat="1" applyFont="1" applyFill="1" applyBorder="1" applyAlignment="1"/>
    <xf numFmtId="0" fontId="1" fillId="0" borderId="0" xfId="2" applyFont="1"/>
    <xf numFmtId="167" fontId="1" fillId="0" borderId="1" xfId="2" applyNumberFormat="1" applyFont="1" applyFill="1" applyBorder="1" applyAlignment="1"/>
    <xf numFmtId="164" fontId="7" fillId="0" borderId="0" xfId="0" applyNumberFormat="1" applyFont="1"/>
    <xf numFmtId="169" fontId="7" fillId="0" borderId="0" xfId="0" applyNumberFormat="1" applyFont="1"/>
    <xf numFmtId="167" fontId="1" fillId="0" borderId="10" xfId="0" applyNumberFormat="1" applyFont="1" applyFill="1" applyBorder="1" applyAlignment="1">
      <alignment horizontal="center" vertical="center"/>
    </xf>
    <xf numFmtId="3" fontId="7" fillId="0" borderId="26" xfId="0" applyNumberFormat="1" applyFont="1" applyBorder="1" applyAlignment="1">
      <alignment horizontal="center"/>
    </xf>
    <xf numFmtId="3" fontId="7" fillId="0" borderId="29" xfId="0" applyNumberFormat="1" applyFont="1" applyBorder="1" applyAlignment="1">
      <alignment horizontal="center"/>
    </xf>
    <xf numFmtId="0" fontId="7" fillId="0" borderId="0" xfId="0" applyFont="1" applyAlignment="1">
      <alignment horizontal="center"/>
    </xf>
    <xf numFmtId="166" fontId="1" fillId="0" borderId="0" xfId="0" applyNumberFormat="1" applyFont="1" applyFill="1" applyBorder="1" applyAlignment="1"/>
    <xf numFmtId="4" fontId="1" fillId="0" borderId="1" xfId="0" applyNumberFormat="1" applyFont="1" applyFill="1" applyBorder="1" applyAlignment="1"/>
    <xf numFmtId="170" fontId="1" fillId="0" borderId="1" xfId="0" applyNumberFormat="1" applyFont="1" applyFill="1" applyBorder="1" applyAlignment="1"/>
    <xf numFmtId="168" fontId="1" fillId="0" borderId="1" xfId="0" applyNumberFormat="1" applyFont="1" applyFill="1" applyBorder="1" applyAlignment="1"/>
    <xf numFmtId="0" fontId="1" fillId="0" borderId="17" xfId="0" applyFont="1" applyBorder="1"/>
    <xf numFmtId="0" fontId="1" fillId="0" borderId="18" xfId="0" applyFont="1" applyBorder="1"/>
    <xf numFmtId="0" fontId="0" fillId="0" borderId="19" xfId="0" applyBorder="1"/>
    <xf numFmtId="0" fontId="1" fillId="0" borderId="0" xfId="0" applyFont="1" applyBorder="1"/>
    <xf numFmtId="0" fontId="1" fillId="0" borderId="20" xfId="0" applyFont="1" applyBorder="1"/>
    <xf numFmtId="0" fontId="1" fillId="0" borderId="19" xfId="0" applyFont="1" applyBorder="1"/>
    <xf numFmtId="0" fontId="0" fillId="0" borderId="21" xfId="0" applyBorder="1"/>
    <xf numFmtId="0" fontId="1" fillId="0" borderId="22" xfId="0" applyFont="1" applyBorder="1"/>
    <xf numFmtId="0" fontId="1" fillId="0" borderId="23" xfId="0" applyFont="1" applyBorder="1"/>
    <xf numFmtId="0" fontId="20" fillId="0" borderId="18" xfId="0" applyFont="1" applyBorder="1"/>
    <xf numFmtId="0" fontId="1" fillId="0" borderId="21" xfId="0" applyFont="1" applyBorder="1"/>
    <xf numFmtId="0" fontId="22" fillId="3" borderId="2" xfId="0" applyFont="1" applyFill="1" applyBorder="1" applyAlignment="1">
      <alignment horizontal="center" vertical="center"/>
    </xf>
    <xf numFmtId="0" fontId="8" fillId="3" borderId="2" xfId="0" applyFont="1" applyFill="1" applyBorder="1" applyAlignment="1">
      <alignment horizontal="left"/>
    </xf>
    <xf numFmtId="0" fontId="8" fillId="3" borderId="2" xfId="0" applyFont="1" applyFill="1" applyBorder="1" applyAlignment="1">
      <alignment horizontal="center" wrapText="1"/>
    </xf>
    <xf numFmtId="164" fontId="3" fillId="0" borderId="28" xfId="0" applyNumberFormat="1" applyFont="1" applyFill="1" applyBorder="1" applyAlignment="1">
      <alignment horizontal="left" vertical="center"/>
    </xf>
    <xf numFmtId="164" fontId="3" fillId="0" borderId="31" xfId="0" applyNumberFormat="1" applyFont="1" applyFill="1" applyBorder="1" applyAlignment="1">
      <alignment horizontal="left" vertical="center"/>
    </xf>
    <xf numFmtId="164" fontId="3" fillId="0" borderId="55" xfId="0" applyNumberFormat="1" applyFont="1" applyFill="1" applyBorder="1" applyAlignment="1">
      <alignment horizontal="left" vertical="center"/>
    </xf>
    <xf numFmtId="164" fontId="1" fillId="0" borderId="55" xfId="0" applyNumberFormat="1" applyFont="1" applyFill="1" applyBorder="1" applyAlignment="1">
      <alignment horizontal="center" vertical="center"/>
    </xf>
    <xf numFmtId="9" fontId="1" fillId="0" borderId="28" xfId="0" applyNumberFormat="1" applyFont="1" applyFill="1" applyBorder="1" applyAlignment="1">
      <alignment horizontal="center" vertical="center"/>
    </xf>
    <xf numFmtId="9" fontId="1" fillId="0" borderId="31" xfId="0" applyNumberFormat="1" applyFont="1" applyFill="1" applyBorder="1" applyAlignment="1">
      <alignment horizontal="center" vertical="center"/>
    </xf>
    <xf numFmtId="9" fontId="1" fillId="0" borderId="55" xfId="0" applyNumberFormat="1" applyFont="1" applyFill="1" applyBorder="1" applyAlignment="1">
      <alignment horizontal="center" vertical="center"/>
    </xf>
    <xf numFmtId="164" fontId="1" fillId="0" borderId="27" xfId="0" applyNumberFormat="1" applyFont="1" applyFill="1" applyBorder="1" applyAlignment="1">
      <alignment horizontal="center" vertical="center"/>
    </xf>
    <xf numFmtId="164" fontId="1" fillId="0" borderId="30" xfId="0" applyNumberFormat="1" applyFont="1" applyFill="1" applyBorder="1" applyAlignment="1">
      <alignment horizontal="center" vertical="center"/>
    </xf>
    <xf numFmtId="164" fontId="1" fillId="0" borderId="56" xfId="0" applyNumberFormat="1" applyFont="1" applyFill="1" applyBorder="1" applyAlignment="1">
      <alignment horizontal="center" vertical="center"/>
    </xf>
    <xf numFmtId="0" fontId="8" fillId="0" borderId="0" xfId="0" applyFont="1" applyFill="1" applyBorder="1" applyAlignment="1">
      <alignment horizontal="center" wrapText="1"/>
    </xf>
    <xf numFmtId="164" fontId="1" fillId="0" borderId="0" xfId="0" applyNumberFormat="1" applyFont="1" applyFill="1" applyBorder="1" applyAlignment="1">
      <alignment horizontal="center" vertical="center"/>
    </xf>
    <xf numFmtId="0" fontId="3" fillId="3" borderId="63" xfId="0" applyNumberFormat="1" applyFont="1" applyFill="1" applyBorder="1" applyAlignment="1">
      <alignment horizontal="center"/>
    </xf>
    <xf numFmtId="0" fontId="3" fillId="3" borderId="64" xfId="0" applyNumberFormat="1" applyFont="1" applyFill="1" applyBorder="1" applyAlignment="1">
      <alignment horizontal="center"/>
    </xf>
    <xf numFmtId="0" fontId="3" fillId="3" borderId="65" xfId="0" applyNumberFormat="1" applyFont="1" applyFill="1" applyBorder="1" applyAlignment="1">
      <alignment horizontal="center"/>
    </xf>
    <xf numFmtId="0" fontId="3" fillId="3" borderId="66" xfId="0" applyNumberFormat="1" applyFont="1" applyFill="1" applyBorder="1" applyAlignment="1">
      <alignment horizontal="center"/>
    </xf>
    <xf numFmtId="0" fontId="3" fillId="0" borderId="42" xfId="0" applyNumberFormat="1" applyFont="1" applyFill="1" applyBorder="1" applyAlignment="1">
      <alignment horizontal="left"/>
    </xf>
    <xf numFmtId="0" fontId="3" fillId="0" borderId="1" xfId="0" applyNumberFormat="1" applyFont="1" applyFill="1" applyBorder="1" applyAlignment="1">
      <alignment horizontal="left"/>
    </xf>
    <xf numFmtId="167" fontId="1" fillId="0" borderId="42" xfId="0" applyNumberFormat="1" applyFont="1" applyFill="1" applyBorder="1" applyAlignment="1"/>
    <xf numFmtId="167" fontId="1" fillId="0" borderId="1" xfId="0" applyNumberFormat="1" applyFont="1" applyFill="1" applyBorder="1" applyAlignment="1"/>
    <xf numFmtId="0" fontId="40" fillId="0" borderId="0" xfId="0" applyFont="1"/>
    <xf numFmtId="167" fontId="41" fillId="0" borderId="0" xfId="0" applyNumberFormat="1" applyFont="1"/>
    <xf numFmtId="0" fontId="42" fillId="0" borderId="0" xfId="0" applyFont="1"/>
    <xf numFmtId="167" fontId="18" fillId="0" borderId="0" xfId="0" applyNumberFormat="1" applyFont="1"/>
    <xf numFmtId="0" fontId="18" fillId="0" borderId="0" xfId="0" applyFont="1"/>
    <xf numFmtId="2" fontId="18" fillId="0" borderId="0" xfId="0" applyNumberFormat="1" applyFont="1"/>
    <xf numFmtId="2" fontId="19" fillId="0" borderId="0" xfId="0" applyNumberFormat="1" applyFont="1"/>
    <xf numFmtId="9" fontId="43" fillId="0" borderId="0" xfId="0" applyNumberFormat="1" applyFont="1"/>
    <xf numFmtId="0" fontId="16" fillId="0" borderId="0" xfId="0" applyFont="1" applyFill="1" applyBorder="1" applyAlignment="1">
      <alignment vertical="top"/>
    </xf>
    <xf numFmtId="0" fontId="44" fillId="0" borderId="0" xfId="0" applyFont="1"/>
    <xf numFmtId="0" fontId="45" fillId="0" borderId="17" xfId="0" applyFont="1" applyBorder="1"/>
    <xf numFmtId="0" fontId="0" fillId="0" borderId="0" xfId="0" applyBorder="1"/>
    <xf numFmtId="0" fontId="0" fillId="0" borderId="20" xfId="0" applyBorder="1"/>
    <xf numFmtId="9" fontId="19" fillId="0" borderId="0" xfId="0" applyNumberFormat="1" applyFont="1"/>
    <xf numFmtId="166" fontId="1"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8" fillId="0" borderId="31" xfId="0" applyFont="1" applyBorder="1"/>
    <xf numFmtId="164" fontId="0" fillId="0" borderId="0" xfId="0" applyNumberFormat="1"/>
    <xf numFmtId="0" fontId="46" fillId="0" borderId="0" xfId="0" applyFont="1" applyAlignment="1">
      <alignment horizontal="left"/>
    </xf>
    <xf numFmtId="0" fontId="16" fillId="0" borderId="0" xfId="0" applyFont="1" applyFill="1" applyBorder="1" applyAlignment="1">
      <alignment horizontal="left"/>
    </xf>
    <xf numFmtId="0" fontId="47" fillId="0" borderId="0" xfId="15" applyFont="1"/>
    <xf numFmtId="0" fontId="16" fillId="0" borderId="0" xfId="0" applyFont="1" applyFill="1" applyBorder="1" applyAlignment="1">
      <alignment horizontal="left" vertical="top"/>
    </xf>
    <xf numFmtId="0" fontId="16" fillId="0" borderId="0" xfId="0" applyFont="1" applyFill="1" applyBorder="1" applyAlignment="1">
      <alignment horizontal="left" vertical="top"/>
    </xf>
    <xf numFmtId="0" fontId="48" fillId="0" borderId="0" xfId="0" applyFont="1" applyAlignment="1">
      <alignment horizontal="left"/>
    </xf>
    <xf numFmtId="0" fontId="49" fillId="0" borderId="0" xfId="0" applyFont="1"/>
    <xf numFmtId="0" fontId="50" fillId="0" borderId="0" xfId="0" applyFont="1" applyFill="1" applyBorder="1" applyAlignment="1">
      <alignment vertical="top"/>
    </xf>
    <xf numFmtId="167" fontId="52" fillId="3" borderId="57" xfId="0" applyNumberFormat="1" applyFont="1" applyFill="1" applyBorder="1" applyAlignment="1">
      <alignment horizontal="left" wrapText="1"/>
    </xf>
    <xf numFmtId="167" fontId="52" fillId="3" borderId="58" xfId="0" applyNumberFormat="1" applyFont="1" applyFill="1" applyBorder="1" applyAlignment="1">
      <alignment horizontal="left" wrapText="1"/>
    </xf>
    <xf numFmtId="164" fontId="52" fillId="3" borderId="52" xfId="0" applyNumberFormat="1" applyFont="1" applyFill="1" applyBorder="1" applyAlignment="1">
      <alignment horizontal="center" vertical="center" wrapText="1"/>
    </xf>
    <xf numFmtId="164" fontId="52" fillId="3" borderId="53" xfId="0" applyNumberFormat="1" applyFont="1" applyFill="1" applyBorder="1" applyAlignment="1">
      <alignment horizontal="center" vertical="center" wrapText="1"/>
    </xf>
    <xf numFmtId="164" fontId="52" fillId="7" borderId="31" xfId="0" applyNumberFormat="1" applyFont="1" applyFill="1" applyBorder="1" applyAlignment="1">
      <alignment horizontal="left" vertical="center"/>
    </xf>
    <xf numFmtId="165" fontId="40" fillId="0" borderId="55" xfId="11" applyNumberFormat="1" applyFont="1" applyFill="1" applyBorder="1" applyAlignment="1">
      <alignment horizontal="center"/>
    </xf>
    <xf numFmtId="164" fontId="52" fillId="7" borderId="59" xfId="0" applyNumberFormat="1" applyFont="1" applyFill="1" applyBorder="1" applyAlignment="1">
      <alignment horizontal="left" vertical="center"/>
    </xf>
    <xf numFmtId="165" fontId="40" fillId="0" borderId="59" xfId="11" applyNumberFormat="1" applyFont="1" applyFill="1" applyBorder="1" applyAlignment="1">
      <alignment horizontal="center"/>
    </xf>
    <xf numFmtId="164" fontId="52" fillId="7" borderId="28" xfId="0" applyNumberFormat="1" applyFont="1" applyFill="1" applyBorder="1" applyAlignment="1">
      <alignment horizontal="left" vertical="center"/>
    </xf>
    <xf numFmtId="165" fontId="40" fillId="0" borderId="28" xfId="11" applyNumberFormat="1" applyFont="1" applyFill="1" applyBorder="1" applyAlignment="1">
      <alignment horizontal="center"/>
    </xf>
    <xf numFmtId="164" fontId="52" fillId="7" borderId="61" xfId="0" applyNumberFormat="1" applyFont="1" applyFill="1" applyBorder="1" applyAlignment="1">
      <alignment horizontal="left" vertical="center"/>
    </xf>
    <xf numFmtId="165" fontId="40" fillId="0" borderId="61" xfId="11" applyNumberFormat="1" applyFont="1" applyFill="1" applyBorder="1" applyAlignment="1">
      <alignment horizontal="center"/>
    </xf>
    <xf numFmtId="0" fontId="52" fillId="0" borderId="54" xfId="0" applyNumberFormat="1" applyFont="1" applyFill="1" applyBorder="1" applyAlignment="1">
      <alignment horizontal="left" vertical="center"/>
    </xf>
    <xf numFmtId="164" fontId="52" fillId="7" borderId="54" xfId="0" applyNumberFormat="1" applyFont="1" applyFill="1" applyBorder="1" applyAlignment="1">
      <alignment horizontal="left" vertical="center"/>
    </xf>
    <xf numFmtId="165" fontId="40" fillId="0" borderId="54" xfId="11" applyNumberFormat="1" applyFont="1" applyFill="1" applyBorder="1" applyAlignment="1">
      <alignment horizontal="center"/>
    </xf>
    <xf numFmtId="164" fontId="52" fillId="7" borderId="60" xfId="0" applyNumberFormat="1" applyFont="1" applyFill="1" applyBorder="1" applyAlignment="1">
      <alignment horizontal="left" vertical="center"/>
    </xf>
    <xf numFmtId="165" fontId="40" fillId="0" borderId="60" xfId="11" applyNumberFormat="1" applyFont="1" applyFill="1" applyBorder="1" applyAlignment="1">
      <alignment horizontal="center"/>
    </xf>
    <xf numFmtId="164" fontId="52" fillId="7" borderId="55" xfId="0" applyNumberFormat="1" applyFont="1" applyFill="1" applyBorder="1" applyAlignment="1">
      <alignment horizontal="left" vertical="center"/>
    </xf>
    <xf numFmtId="49" fontId="52" fillId="7" borderId="61" xfId="0" applyNumberFormat="1" applyFont="1" applyFill="1" applyBorder="1" applyAlignment="1">
      <alignment horizontal="left" vertical="center" wrapText="1"/>
    </xf>
    <xf numFmtId="165" fontId="40" fillId="0" borderId="62" xfId="11" applyNumberFormat="1" applyFont="1" applyFill="1" applyBorder="1" applyAlignment="1">
      <alignment horizontal="center"/>
    </xf>
    <xf numFmtId="0" fontId="52" fillId="0" borderId="54" xfId="0" applyNumberFormat="1" applyFont="1" applyFill="1" applyBorder="1" applyAlignment="1">
      <alignment horizontal="left" vertical="center" wrapText="1"/>
    </xf>
    <xf numFmtId="164" fontId="52" fillId="7" borderId="34" xfId="0" applyNumberFormat="1" applyFont="1" applyFill="1" applyBorder="1" applyAlignment="1">
      <alignment horizontal="left" vertical="center"/>
    </xf>
    <xf numFmtId="165" fontId="40" fillId="0" borderId="31" xfId="11" applyNumberFormat="1" applyFont="1" applyFill="1" applyBorder="1" applyAlignment="1">
      <alignment horizontal="center"/>
    </xf>
    <xf numFmtId="0" fontId="46" fillId="0" borderId="0" xfId="0" applyFont="1"/>
    <xf numFmtId="0" fontId="9" fillId="0" borderId="0" xfId="15"/>
    <xf numFmtId="168" fontId="1" fillId="0" borderId="67" xfId="0" applyNumberFormat="1" applyFont="1" applyFill="1" applyBorder="1" applyAlignment="1">
      <alignment horizontal="right" vertical="center"/>
    </xf>
    <xf numFmtId="0" fontId="44" fillId="0" borderId="0" xfId="0" applyFont="1" applyBorder="1"/>
    <xf numFmtId="164" fontId="1" fillId="0" borderId="14" xfId="0" applyNumberFormat="1" applyFont="1" applyFill="1" applyBorder="1" applyAlignment="1">
      <alignment horizontal="center" vertical="center"/>
    </xf>
    <xf numFmtId="0" fontId="3" fillId="0" borderId="68" xfId="0" applyFont="1" applyFill="1" applyBorder="1" applyAlignment="1">
      <alignment horizontal="left" vertical="center" wrapText="1"/>
    </xf>
    <xf numFmtId="164" fontId="1" fillId="0" borderId="7" xfId="0" applyNumberFormat="1" applyFont="1" applyFill="1" applyBorder="1" applyAlignment="1">
      <alignment horizontal="center" vertical="center"/>
    </xf>
    <xf numFmtId="0" fontId="3" fillId="0" borderId="69" xfId="0" applyFont="1" applyFill="1" applyBorder="1" applyAlignment="1">
      <alignment horizontal="left" vertical="center"/>
    </xf>
    <xf numFmtId="0" fontId="16" fillId="0" borderId="0" xfId="0" applyFont="1" applyFill="1" applyBorder="1" applyAlignment="1">
      <alignment horizontal="left"/>
    </xf>
    <xf numFmtId="167" fontId="1" fillId="0" borderId="68" xfId="0" applyNumberFormat="1" applyFont="1" applyFill="1" applyBorder="1" applyAlignment="1">
      <alignment horizontal="center" vertical="center"/>
    </xf>
    <xf numFmtId="167" fontId="1" fillId="0" borderId="8" xfId="0" applyNumberFormat="1" applyFont="1" applyFill="1" applyBorder="1" applyAlignment="1">
      <alignment horizontal="center" vertical="center"/>
    </xf>
    <xf numFmtId="2" fontId="7" fillId="0" borderId="39" xfId="0" applyNumberFormat="1" applyFont="1" applyBorder="1"/>
    <xf numFmtId="9" fontId="1" fillId="0" borderId="0" xfId="0" applyNumberFormat="1" applyFont="1"/>
    <xf numFmtId="172" fontId="1" fillId="0" borderId="0" xfId="0" applyNumberFormat="1" applyFont="1"/>
    <xf numFmtId="0" fontId="7" fillId="0" borderId="71" xfId="0" applyFont="1" applyBorder="1"/>
    <xf numFmtId="1" fontId="7" fillId="0" borderId="71" xfId="0" applyNumberFormat="1" applyFont="1" applyBorder="1"/>
    <xf numFmtId="0" fontId="7" fillId="0" borderId="69" xfId="0" applyFont="1" applyBorder="1"/>
    <xf numFmtId="1" fontId="7" fillId="0" borderId="69" xfId="0" applyNumberFormat="1" applyFont="1" applyBorder="1"/>
    <xf numFmtId="172" fontId="7" fillId="0" borderId="69" xfId="0" applyNumberFormat="1" applyFont="1" applyBorder="1"/>
    <xf numFmtId="0" fontId="1" fillId="3" borderId="2" xfId="0" applyNumberFormat="1" applyFont="1" applyFill="1" applyBorder="1" applyAlignment="1">
      <alignment horizontal="left" vertical="center"/>
    </xf>
    <xf numFmtId="0" fontId="1" fillId="3" borderId="6" xfId="0" applyNumberFormat="1" applyFont="1" applyFill="1" applyBorder="1" applyAlignment="1">
      <alignment horizontal="left" vertical="center"/>
    </xf>
    <xf numFmtId="0" fontId="53" fillId="0" borderId="0" xfId="0" applyFont="1"/>
    <xf numFmtId="0" fontId="1" fillId="2" borderId="1" xfId="0" applyNumberFormat="1" applyFont="1" applyFill="1" applyBorder="1" applyAlignment="1">
      <alignment horizontal="left"/>
    </xf>
    <xf numFmtId="0" fontId="1" fillId="2" borderId="1" xfId="2" applyNumberFormat="1" applyFont="1" applyFill="1" applyBorder="1" applyAlignment="1">
      <alignment horizontal="left"/>
    </xf>
    <xf numFmtId="0" fontId="7" fillId="31" borderId="0" xfId="0" applyFont="1" applyFill="1" applyAlignment="1"/>
    <xf numFmtId="0" fontId="7" fillId="31" borderId="0" xfId="0" applyFont="1" applyFill="1"/>
    <xf numFmtId="0" fontId="7" fillId="31" borderId="72" xfId="0" applyFont="1" applyFill="1" applyBorder="1" applyAlignment="1">
      <alignment horizontal="center"/>
    </xf>
    <xf numFmtId="9" fontId="1" fillId="0" borderId="0" xfId="0" applyNumberFormat="1" applyFont="1" applyBorder="1"/>
    <xf numFmtId="9" fontId="1" fillId="0" borderId="73" xfId="0" applyNumberFormat="1" applyFont="1" applyBorder="1"/>
    <xf numFmtId="0" fontId="7" fillId="0" borderId="0" xfId="0" applyFont="1" applyAlignment="1">
      <alignment horizontal="left" vertical="top" wrapText="1"/>
    </xf>
    <xf numFmtId="49" fontId="7" fillId="0" borderId="0" xfId="0" applyNumberFormat="1" applyFont="1" applyAlignment="1">
      <alignment horizontal="left"/>
    </xf>
    <xf numFmtId="0" fontId="16" fillId="0" borderId="0" xfId="0" applyFont="1" applyFill="1" applyBorder="1" applyAlignment="1">
      <alignment horizontal="left"/>
    </xf>
    <xf numFmtId="0" fontId="3" fillId="3" borderId="2" xfId="0" applyNumberFormat="1" applyFont="1" applyFill="1" applyBorder="1" applyAlignment="1">
      <alignment horizontal="center" vertical="center" wrapText="1"/>
    </xf>
    <xf numFmtId="0" fontId="16" fillId="0" borderId="0" xfId="0" applyFont="1" applyFill="1" applyBorder="1" applyAlignment="1">
      <alignment horizontal="left" vertical="top"/>
    </xf>
    <xf numFmtId="0" fontId="3" fillId="3" borderId="54" xfId="0" applyFont="1" applyFill="1" applyBorder="1" applyAlignment="1">
      <alignment horizontal="center" vertical="center"/>
    </xf>
    <xf numFmtId="172" fontId="1" fillId="0" borderId="7" xfId="0" applyNumberFormat="1" applyFont="1" applyFill="1" applyBorder="1" applyAlignment="1">
      <alignment horizontal="center" vertical="center"/>
    </xf>
    <xf numFmtId="172" fontId="1" fillId="0" borderId="70" xfId="0" applyNumberFormat="1" applyFont="1" applyFill="1" applyBorder="1" applyAlignment="1">
      <alignment horizontal="center" vertical="center"/>
    </xf>
    <xf numFmtId="172" fontId="1" fillId="0" borderId="69" xfId="0" applyNumberFormat="1" applyFont="1" applyFill="1" applyBorder="1" applyAlignment="1">
      <alignment horizontal="center" vertical="center"/>
    </xf>
    <xf numFmtId="0" fontId="52" fillId="0" borderId="74" xfId="0" applyNumberFormat="1" applyFont="1" applyFill="1" applyBorder="1" applyAlignment="1">
      <alignment horizontal="left" vertical="center"/>
    </xf>
    <xf numFmtId="0" fontId="52" fillId="0" borderId="62" xfId="0" applyNumberFormat="1" applyFont="1" applyFill="1" applyBorder="1" applyAlignment="1">
      <alignment horizontal="left" vertical="center"/>
    </xf>
    <xf numFmtId="0" fontId="52" fillId="0" borderId="74" xfId="0" applyNumberFormat="1" applyFont="1" applyFill="1" applyBorder="1" applyAlignment="1">
      <alignment horizontal="left" vertical="center" wrapText="1"/>
    </xf>
    <xf numFmtId="0" fontId="52" fillId="0" borderId="62" xfId="0" applyNumberFormat="1" applyFont="1" applyFill="1" applyBorder="1" applyAlignment="1">
      <alignment horizontal="left" vertical="center" wrapText="1"/>
    </xf>
    <xf numFmtId="0" fontId="52" fillId="0" borderId="75" xfId="0" applyNumberFormat="1" applyFont="1" applyFill="1" applyBorder="1" applyAlignment="1">
      <alignment horizontal="left" vertical="center" wrapText="1"/>
    </xf>
  </cellXfs>
  <cellStyles count="106">
    <cellStyle name="20% - Accent1 2" xfId="18"/>
    <cellStyle name="20% - Accent2 2" xfId="19"/>
    <cellStyle name="20% - Accent3 2" xfId="20"/>
    <cellStyle name="20% - Accent4 2" xfId="21"/>
    <cellStyle name="20% - Accent5 2" xfId="22"/>
    <cellStyle name="20% - Accent6 2" xfId="23"/>
    <cellStyle name="20% - Akzent1" xfId="24"/>
    <cellStyle name="20% - Akzent2" xfId="25"/>
    <cellStyle name="20% - Akzent3" xfId="26"/>
    <cellStyle name="20% - Akzent4" xfId="27"/>
    <cellStyle name="20% - Akzent5" xfId="28"/>
    <cellStyle name="20% - Akzent6" xfId="29"/>
    <cellStyle name="40% - Accent1 2" xfId="30"/>
    <cellStyle name="40% - Accent2 2" xfId="31"/>
    <cellStyle name="40% - Accent3 2" xfId="32"/>
    <cellStyle name="40% - Accent4 2" xfId="33"/>
    <cellStyle name="40% - Accent5 2" xfId="34"/>
    <cellStyle name="40% - Accent6 2" xfId="35"/>
    <cellStyle name="40% - Akzent1" xfId="36"/>
    <cellStyle name="40% - Akzent2" xfId="37"/>
    <cellStyle name="40% - Akzent3" xfId="38"/>
    <cellStyle name="40% - Akzent4" xfId="39"/>
    <cellStyle name="40% - Akzent5" xfId="40"/>
    <cellStyle name="40% - Akzent6" xfId="41"/>
    <cellStyle name="60% - Accent1 2" xfId="42"/>
    <cellStyle name="60% - Accent2 2" xfId="43"/>
    <cellStyle name="60% - Accent3 2" xfId="44"/>
    <cellStyle name="60% - Accent4 2" xfId="45"/>
    <cellStyle name="60% - Accent5 2" xfId="46"/>
    <cellStyle name="60% - Accent6 2" xfId="47"/>
    <cellStyle name="60% - Akzent1" xfId="48"/>
    <cellStyle name="60% - Akzent2" xfId="49"/>
    <cellStyle name="60% - Akzent3" xfId="50"/>
    <cellStyle name="60% - Akzent4" xfId="51"/>
    <cellStyle name="60% - Akzent5" xfId="52"/>
    <cellStyle name="60% - Akzent6" xfId="53"/>
    <cellStyle name="Accent1 2" xfId="54"/>
    <cellStyle name="Accent2 2" xfId="55"/>
    <cellStyle name="Accent3 2" xfId="56"/>
    <cellStyle name="Accent4 2" xfId="57"/>
    <cellStyle name="Accent5 2" xfId="58"/>
    <cellStyle name="Accent6 2" xfId="59"/>
    <cellStyle name="Akzent1" xfId="60"/>
    <cellStyle name="Akzent2" xfId="61"/>
    <cellStyle name="Akzent3" xfId="62"/>
    <cellStyle name="Akzent4" xfId="63"/>
    <cellStyle name="Akzent5" xfId="64"/>
    <cellStyle name="Akzent6" xfId="65"/>
    <cellStyle name="Ausgabe" xfId="66"/>
    <cellStyle name="Bad 2" xfId="67"/>
    <cellStyle name="Berechnung" xfId="68"/>
    <cellStyle name="Calculation 2" xfId="69"/>
    <cellStyle name="Check Cell 2" xfId="70"/>
    <cellStyle name="Comma 2" xfId="71"/>
    <cellStyle name="ConditionalStyle_1" xfId="72"/>
    <cellStyle name="Eingabe" xfId="73"/>
    <cellStyle name="Ergebnis" xfId="74"/>
    <cellStyle name="Erklärender Text" xfId="75"/>
    <cellStyle name="Euro" xfId="76"/>
    <cellStyle name="Excel Built-in Normal" xfId="77"/>
    <cellStyle name="Explanatory Text 2" xfId="78"/>
    <cellStyle name="Good 2" xfId="79"/>
    <cellStyle name="Gut" xfId="80"/>
    <cellStyle name="Heading 1 2" xfId="81"/>
    <cellStyle name="Heading 2 2" xfId="82"/>
    <cellStyle name="Heading 3 2" xfId="83"/>
    <cellStyle name="Heading 4 2" xfId="84"/>
    <cellStyle name="Hyperlink" xfId="15" builtinId="8"/>
    <cellStyle name="Input 2" xfId="85"/>
    <cellStyle name="Linked Cell 2" xfId="86"/>
    <cellStyle name="Neutral 2" xfId="87"/>
    <cellStyle name="Normal" xfId="0" builtinId="0"/>
    <cellStyle name="Normal 10" xfId="16"/>
    <cellStyle name="Normal 11" xfId="17"/>
    <cellStyle name="Normal 2" xfId="1"/>
    <cellStyle name="Normal 2 2" xfId="2"/>
    <cellStyle name="Normal 2 3" xfId="3"/>
    <cellStyle name="Normal 2 4" xfId="88"/>
    <cellStyle name="Normal 3" xfId="4"/>
    <cellStyle name="Normal 4" xfId="5"/>
    <cellStyle name="Normal 4 2" xfId="105"/>
    <cellStyle name="Normal 5" xfId="6"/>
    <cellStyle name="Normal 6" xfId="7"/>
    <cellStyle name="Normal 7" xfId="8"/>
    <cellStyle name="Normal 8" xfId="9"/>
    <cellStyle name="Normal 9" xfId="10"/>
    <cellStyle name="Normál_Ques_15-19_4.1" xfId="89"/>
    <cellStyle name="Note 2" xfId="90"/>
    <cellStyle name="Notiz" xfId="91"/>
    <cellStyle name="NumberCellStyle" xfId="11"/>
    <cellStyle name="Output 2" xfId="92"/>
    <cellStyle name="Percent 2" xfId="12"/>
    <cellStyle name="Percent 2 2" xfId="13"/>
    <cellStyle name="Percent 3" xfId="14"/>
    <cellStyle name="Schlecht" xfId="93"/>
    <cellStyle name="Title 2" xfId="94"/>
    <cellStyle name="Total 2" xfId="95"/>
    <cellStyle name="Überschrift" xfId="96"/>
    <cellStyle name="Überschrift 1" xfId="97"/>
    <cellStyle name="Überschrift 2" xfId="98"/>
    <cellStyle name="Überschrift 3" xfId="99"/>
    <cellStyle name="Überschrift 4" xfId="100"/>
    <cellStyle name="Verknüpfte Zelle" xfId="101"/>
    <cellStyle name="Warnender Text" xfId="102"/>
    <cellStyle name="Warning Text 2" xfId="103"/>
    <cellStyle name="Zelle überprüfen" xfId="10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Comparison of the actual weight of traded goods with trade in raw material equivalents (RME), EU-27, 2019</a:t>
            </a:r>
          </a:p>
          <a:p>
            <a:pPr algn="l">
              <a:defRPr sz="1800" b="1">
                <a:latin typeface="Arial"/>
                <a:ea typeface="Arial"/>
                <a:cs typeface="Arial"/>
              </a:defRPr>
            </a:pPr>
            <a:r>
              <a:rPr lang="en-US" sz="1600" b="0"/>
              <a:t>(tonnes per capita)</a:t>
            </a:r>
          </a:p>
        </c:rich>
      </c:tx>
      <c:layout>
        <c:manualLayout>
          <c:xMode val="edge"/>
          <c:yMode val="edge"/>
          <c:x val="5.3333333333333332E-3"/>
          <c:y val="7.8225717536173234E-3"/>
        </c:manualLayout>
      </c:layout>
      <c:overlay val="0"/>
    </c:title>
    <c:autoTitleDeleted val="0"/>
    <c:plotArea>
      <c:layout>
        <c:manualLayout>
          <c:xMode val="edge"/>
          <c:yMode val="edge"/>
          <c:x val="1.8677900262467195E-2"/>
          <c:y val="0.15716331989945223"/>
          <c:w val="0.94463149606299213"/>
          <c:h val="0.65617317941961451"/>
        </c:manualLayout>
      </c:layout>
      <c:barChart>
        <c:barDir val="col"/>
        <c:grouping val="stacked"/>
        <c:varyColors val="0"/>
        <c:ser>
          <c:idx val="0"/>
          <c:order val="0"/>
          <c:tx>
            <c:strRef>
              <c:f>'Fig1'!$C$59</c:f>
              <c:strCache>
                <c:ptCount val="1"/>
                <c:pt idx="0">
                  <c:v>Biomass</c:v>
                </c:pt>
              </c:strCache>
            </c:strRef>
          </c:tx>
          <c:spPr>
            <a:solidFill>
              <a:srgbClr val="32AFAF">
                <a:lumMod val="100000"/>
              </a:srgbClr>
            </a:solidFill>
            <a:ln>
              <a:noFill/>
              <a:round/>
            </a:ln>
            <a:effectLst/>
            <a:extLst>
              <a:ext uri="{91240B29-F687-4F45-9708-019B960494DF}">
                <a14:hiddenLine xmlns:a14="http://schemas.microsoft.com/office/drawing/2010/main">
                  <a:solidFill>
                    <a:srgbClr val="32AFAF"/>
                  </a:solidFill>
                  <a:round/>
                </a14:hiddenLine>
              </a:ext>
            </a:extLst>
          </c:spPr>
          <c:invertIfNegative val="0"/>
          <c:cat>
            <c:strRef>
              <c:f>'Fig1'!$D$58:$G$58</c:f>
              <c:strCache>
                <c:ptCount val="4"/>
                <c:pt idx="0">
                  <c:v>Imports*
 (actual weight)</c:v>
                </c:pt>
                <c:pt idx="1">
                  <c:v>Imports
in RME</c:v>
                </c:pt>
                <c:pt idx="2">
                  <c:v>Exports*
(actual weight)</c:v>
                </c:pt>
                <c:pt idx="3">
                  <c:v>Exports
in RME</c:v>
                </c:pt>
              </c:strCache>
            </c:strRef>
          </c:cat>
          <c:val>
            <c:numRef>
              <c:f>'Fig1'!$D$59:$G$59</c:f>
              <c:numCache>
                <c:formatCode>0.0</c:formatCode>
                <c:ptCount val="4"/>
                <c:pt idx="0">
                  <c:v>0.4956402640264026</c:v>
                </c:pt>
                <c:pt idx="1">
                  <c:v>0.58599999999999997</c:v>
                </c:pt>
                <c:pt idx="2">
                  <c:v>0.52373567708333335</c:v>
                </c:pt>
                <c:pt idx="3">
                  <c:v>0.70699999999999996</c:v>
                </c:pt>
              </c:numCache>
            </c:numRef>
          </c:val>
          <c:extLst>
            <c:ext xmlns:c16="http://schemas.microsoft.com/office/drawing/2014/chart" uri="{C3380CC4-5D6E-409C-BE32-E72D297353CC}">
              <c16:uniqueId val="{00000000-643D-4F3E-A3D1-38691930BAF2}"/>
            </c:ext>
          </c:extLst>
        </c:ser>
        <c:ser>
          <c:idx val="1"/>
          <c:order val="1"/>
          <c:tx>
            <c:strRef>
              <c:f>'Fig1'!$C$60</c:f>
              <c:strCache>
                <c:ptCount val="1"/>
                <c:pt idx="0">
                  <c:v>Metal ores</c:v>
                </c:pt>
              </c:strCache>
            </c:strRef>
          </c:tx>
          <c:spPr>
            <a:solidFill>
              <a:schemeClr val="accent2"/>
            </a:solidFill>
            <a:ln>
              <a:noFill/>
              <a:round/>
            </a:ln>
            <a:effectLst/>
            <a:extLst>
              <a:ext uri="{91240B29-F687-4F45-9708-019B960494DF}">
                <a14:hiddenLine xmlns:a14="http://schemas.microsoft.com/office/drawing/2010/main">
                  <a:noFill/>
                  <a:round/>
                </a14:hiddenLine>
              </a:ext>
            </a:extLst>
          </c:spPr>
          <c:invertIfNegative val="0"/>
          <c:cat>
            <c:strRef>
              <c:f>'Fig1'!$D$58:$G$58</c:f>
              <c:strCache>
                <c:ptCount val="4"/>
                <c:pt idx="0">
                  <c:v>Imports*
 (actual weight)</c:v>
                </c:pt>
                <c:pt idx="1">
                  <c:v>Imports
in RME</c:v>
                </c:pt>
                <c:pt idx="2">
                  <c:v>Exports*
(actual weight)</c:v>
                </c:pt>
                <c:pt idx="3">
                  <c:v>Exports
in RME</c:v>
                </c:pt>
              </c:strCache>
            </c:strRef>
          </c:cat>
          <c:val>
            <c:numRef>
              <c:f>'Fig1'!$D$60:$G$60</c:f>
              <c:numCache>
                <c:formatCode>0.0</c:formatCode>
                <c:ptCount val="4"/>
                <c:pt idx="0">
                  <c:v>0.57092739273927395</c:v>
                </c:pt>
                <c:pt idx="1">
                  <c:v>2.2050000000000001</c:v>
                </c:pt>
                <c:pt idx="2">
                  <c:v>0.316197265625</c:v>
                </c:pt>
                <c:pt idx="3">
                  <c:v>1.3460000000000001</c:v>
                </c:pt>
              </c:numCache>
            </c:numRef>
          </c:val>
          <c:extLst>
            <c:ext xmlns:c16="http://schemas.microsoft.com/office/drawing/2014/chart" uri="{C3380CC4-5D6E-409C-BE32-E72D297353CC}">
              <c16:uniqueId val="{00000001-643D-4F3E-A3D1-38691930BAF2}"/>
            </c:ext>
          </c:extLst>
        </c:ser>
        <c:ser>
          <c:idx val="2"/>
          <c:order val="2"/>
          <c:tx>
            <c:strRef>
              <c:f>'Fig1'!$C$61</c:f>
              <c:strCache>
                <c:ptCount val="1"/>
                <c:pt idx="0">
                  <c:v>Non-metallic minerals</c:v>
                </c:pt>
              </c:strCache>
            </c:strRef>
          </c:tx>
          <c:spPr>
            <a:solidFill>
              <a:schemeClr val="accent3"/>
            </a:solidFill>
            <a:ln>
              <a:noFill/>
              <a:round/>
            </a:ln>
            <a:effectLst/>
            <a:extLst>
              <a:ext uri="{91240B29-F687-4F45-9708-019B960494DF}">
                <a14:hiddenLine xmlns:a14="http://schemas.microsoft.com/office/drawing/2010/main">
                  <a:noFill/>
                  <a:round/>
                </a14:hiddenLine>
              </a:ext>
            </a:extLst>
          </c:spPr>
          <c:invertIfNegative val="0"/>
          <c:cat>
            <c:strRef>
              <c:f>'Fig1'!$D$58:$G$58</c:f>
              <c:strCache>
                <c:ptCount val="4"/>
                <c:pt idx="0">
                  <c:v>Imports*
 (actual weight)</c:v>
                </c:pt>
                <c:pt idx="1">
                  <c:v>Imports
in RME</c:v>
                </c:pt>
                <c:pt idx="2">
                  <c:v>Exports*
(actual weight)</c:v>
                </c:pt>
                <c:pt idx="3">
                  <c:v>Exports
in RME</c:v>
                </c:pt>
              </c:strCache>
            </c:strRef>
          </c:cat>
          <c:val>
            <c:numRef>
              <c:f>'Fig1'!$D$61:$G$61</c:f>
              <c:numCache>
                <c:formatCode>0.0</c:formatCode>
                <c:ptCount val="4"/>
                <c:pt idx="0">
                  <c:v>0.2478201320132013</c:v>
                </c:pt>
                <c:pt idx="1">
                  <c:v>1.147</c:v>
                </c:pt>
                <c:pt idx="2">
                  <c:v>0.23035677083333334</c:v>
                </c:pt>
                <c:pt idx="3">
                  <c:v>1.341</c:v>
                </c:pt>
              </c:numCache>
            </c:numRef>
          </c:val>
          <c:extLst>
            <c:ext xmlns:c16="http://schemas.microsoft.com/office/drawing/2014/chart" uri="{C3380CC4-5D6E-409C-BE32-E72D297353CC}">
              <c16:uniqueId val="{00000002-643D-4F3E-A3D1-38691930BAF2}"/>
            </c:ext>
          </c:extLst>
        </c:ser>
        <c:ser>
          <c:idx val="3"/>
          <c:order val="3"/>
          <c:tx>
            <c:strRef>
              <c:f>'Fig1'!$C$62</c:f>
              <c:strCache>
                <c:ptCount val="1"/>
                <c:pt idx="0">
                  <c:v>Fossil energy materials</c:v>
                </c:pt>
              </c:strCache>
            </c:strRef>
          </c:tx>
          <c:spPr>
            <a:solidFill>
              <a:schemeClr val="accent6"/>
            </a:solidFill>
            <a:ln>
              <a:noFill/>
              <a:round/>
            </a:ln>
            <a:effectLst/>
            <a:extLst>
              <a:ext uri="{91240B29-F687-4F45-9708-019B960494DF}">
                <a14:hiddenLine xmlns:a14="http://schemas.microsoft.com/office/drawing/2010/main">
                  <a:noFill/>
                  <a:round/>
                </a14:hiddenLine>
              </a:ext>
            </a:extLst>
          </c:spPr>
          <c:invertIfNegative val="0"/>
          <c:cat>
            <c:strRef>
              <c:f>'Fig1'!$D$58:$G$58</c:f>
              <c:strCache>
                <c:ptCount val="4"/>
                <c:pt idx="0">
                  <c:v>Imports*
 (actual weight)</c:v>
                </c:pt>
                <c:pt idx="1">
                  <c:v>Imports
in RME</c:v>
                </c:pt>
                <c:pt idx="2">
                  <c:v>Exports*
(actual weight)</c:v>
                </c:pt>
                <c:pt idx="3">
                  <c:v>Exports
in RME</c:v>
                </c:pt>
              </c:strCache>
            </c:strRef>
          </c:cat>
          <c:val>
            <c:numRef>
              <c:f>'Fig1'!$D$62:$G$62</c:f>
              <c:numCache>
                <c:formatCode>0.0</c:formatCode>
                <c:ptCount val="4"/>
                <c:pt idx="0">
                  <c:v>2.4876122112211223</c:v>
                </c:pt>
                <c:pt idx="1">
                  <c:v>3.7120000000000002</c:v>
                </c:pt>
                <c:pt idx="2">
                  <c:v>0.59871028645833335</c:v>
                </c:pt>
                <c:pt idx="3">
                  <c:v>1.716</c:v>
                </c:pt>
              </c:numCache>
            </c:numRef>
          </c:val>
          <c:extLst>
            <c:ext xmlns:c16="http://schemas.microsoft.com/office/drawing/2014/chart" uri="{C3380CC4-5D6E-409C-BE32-E72D297353CC}">
              <c16:uniqueId val="{00000003-643D-4F3E-A3D1-38691930BAF2}"/>
            </c:ext>
          </c:extLst>
        </c:ser>
        <c:dLbls>
          <c:showLegendKey val="0"/>
          <c:showVal val="0"/>
          <c:showCatName val="0"/>
          <c:showSerName val="0"/>
          <c:showPercent val="0"/>
          <c:showBubbleSize val="0"/>
        </c:dLbls>
        <c:gapWidth val="75"/>
        <c:overlap val="100"/>
        <c:axId val="167880192"/>
        <c:axId val="167881728"/>
      </c:barChart>
      <c:catAx>
        <c:axId val="167880192"/>
        <c:scaling>
          <c:orientation val="minMax"/>
        </c:scaling>
        <c:delete val="0"/>
        <c:axPos val="b"/>
        <c:numFmt formatCode="General" sourceLinked="1"/>
        <c:majorTickMark val="out"/>
        <c:minorTickMark val="none"/>
        <c:tickLblPos val="nextTo"/>
        <c:spPr>
          <a:ln>
            <a:solidFill>
              <a:srgbClr val="000000"/>
            </a:solidFill>
            <a:prstDash val="solid"/>
          </a:ln>
        </c:spPr>
        <c:crossAx val="167881728"/>
        <c:crosses val="autoZero"/>
        <c:auto val="1"/>
        <c:lblAlgn val="ctr"/>
        <c:lblOffset val="100"/>
        <c:tickMarkSkip val="1"/>
        <c:noMultiLvlLbl val="0"/>
      </c:catAx>
      <c:valAx>
        <c:axId val="167881728"/>
        <c:scaling>
          <c:orientation val="minMax"/>
          <c:max val="8"/>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67880192"/>
        <c:crosses val="autoZero"/>
        <c:crossBetween val="between"/>
      </c:valAx>
      <c:spPr>
        <a:noFill/>
        <a:ln w="25400">
          <a:noFill/>
        </a:ln>
      </c:spPr>
    </c:plotArea>
    <c:legend>
      <c:legendPos val="b"/>
      <c:layout>
        <c:manualLayout>
          <c:xMode val="edge"/>
          <c:yMode val="edge"/>
          <c:x val="0.16736965879265089"/>
          <c:y val="0.84082052002239616"/>
          <c:w val="0.66526068241469816"/>
          <c:h val="3.7696788495522354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ln>
      <a:noFill/>
    </a:ln>
  </c:spPr>
  <c:txPr>
    <a:bodyPr/>
    <a:lstStyle/>
    <a:p>
      <a:pPr>
        <a:defRPr sz="1200">
          <a:solidFill>
            <a:srgbClr val="000000"/>
          </a:solidFill>
          <a:latin typeface="Arial"/>
          <a:ea typeface="Arial"/>
          <a:cs typeface="Arial"/>
        </a:defRPr>
      </a:pPr>
      <a:endParaRPr lang="en-US"/>
    </a:p>
  </c:tx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Material flow indicators derived from EW-MFA and MFA in RME, EU-27, 2019</a:t>
            </a:r>
          </a:p>
          <a:p>
            <a:pPr algn="l">
              <a:defRPr sz="1800" b="1">
                <a:latin typeface="Arial"/>
                <a:ea typeface="Arial"/>
                <a:cs typeface="Arial"/>
              </a:defRPr>
            </a:pPr>
            <a:r>
              <a:rPr lang="en-US" sz="1600" b="0"/>
              <a:t>(tonnes per capita) </a:t>
            </a:r>
          </a:p>
        </c:rich>
      </c:tx>
      <c:layout>
        <c:manualLayout>
          <c:xMode val="edge"/>
          <c:yMode val="edge"/>
          <c:x val="5.3332868382591778E-3"/>
          <c:y val="2.3236085127569081E-3"/>
        </c:manualLayout>
      </c:layout>
      <c:overlay val="0"/>
    </c:title>
    <c:autoTitleDeleted val="0"/>
    <c:plotArea>
      <c:layout>
        <c:manualLayout>
          <c:xMode val="edge"/>
          <c:yMode val="edge"/>
          <c:x val="1.2345091863517061E-2"/>
          <c:y val="0.159663630828943"/>
          <c:w val="0.95024020997375325"/>
          <c:h val="0.75315547945554218"/>
        </c:manualLayout>
      </c:layout>
      <c:barChart>
        <c:barDir val="col"/>
        <c:grouping val="stacked"/>
        <c:varyColors val="0"/>
        <c:ser>
          <c:idx val="0"/>
          <c:order val="0"/>
          <c:tx>
            <c:v>Series 1</c:v>
          </c:tx>
          <c:spPr>
            <a:solidFill>
              <a:srgbClr val="32AFAF">
                <a:lumMod val="100000"/>
              </a:srgbClr>
            </a:solidFill>
            <a:ln w="12700" cmpd="sng">
              <a:noFill/>
            </a:ln>
          </c:spPr>
          <c:invertIfNegative val="0"/>
          <c:dPt>
            <c:idx val="0"/>
            <c:invertIfNegative val="0"/>
            <c:bubble3D val="0"/>
            <c:extLst>
              <c:ext xmlns:c16="http://schemas.microsoft.com/office/drawing/2014/chart" uri="{C3380CC4-5D6E-409C-BE32-E72D297353CC}">
                <c16:uniqueId val="{00000001-9AA3-4986-B125-3429FA01D5B1}"/>
              </c:ext>
            </c:extLst>
          </c:dPt>
          <c:dPt>
            <c:idx val="1"/>
            <c:invertIfNegative val="0"/>
            <c:bubble3D val="0"/>
            <c:spPr>
              <a:solidFill>
                <a:schemeClr val="accent5"/>
              </a:solidFill>
              <a:ln w="12700" cmpd="sng">
                <a:noFill/>
              </a:ln>
            </c:spPr>
            <c:extLst>
              <c:ext xmlns:c16="http://schemas.microsoft.com/office/drawing/2014/chart" uri="{C3380CC4-5D6E-409C-BE32-E72D297353CC}">
                <c16:uniqueId val="{00000003-9AA3-4986-B125-3429FA01D5B1}"/>
              </c:ext>
            </c:extLst>
          </c:dPt>
          <c:dPt>
            <c:idx val="2"/>
            <c:invertIfNegative val="0"/>
            <c:bubble3D val="0"/>
            <c:extLst>
              <c:ext xmlns:c16="http://schemas.microsoft.com/office/drawing/2014/chart" uri="{C3380CC4-5D6E-409C-BE32-E72D297353CC}">
                <c16:uniqueId val="{00000005-9AA3-4986-B125-3429FA01D5B1}"/>
              </c:ext>
            </c:extLst>
          </c:dPt>
          <c:dPt>
            <c:idx val="3"/>
            <c:invertIfNegative val="0"/>
            <c:bubble3D val="0"/>
            <c:spPr>
              <a:solidFill>
                <a:schemeClr val="accent5">
                  <a:lumMod val="20000"/>
                  <a:lumOff val="80000"/>
                </a:schemeClr>
              </a:solidFill>
              <a:ln w="12700" cmpd="sng">
                <a:noFill/>
              </a:ln>
            </c:spPr>
            <c:extLst>
              <c:ext xmlns:c16="http://schemas.microsoft.com/office/drawing/2014/chart" uri="{C3380CC4-5D6E-409C-BE32-E72D297353CC}">
                <c16:uniqueId val="{00000007-9AA3-4986-B125-3429FA01D5B1}"/>
              </c:ext>
            </c:extLst>
          </c:dPt>
          <c:dLbls>
            <c:dLbl>
              <c:idx val="0"/>
              <c:layout>
                <c:manualLayout>
                  <c:x val="4.9792756555516466E-4"/>
                  <c:y val="-2.2799348855040952E-2"/>
                </c:manualLayout>
              </c:layout>
              <c:numFmt formatCode="#,##0.0" sourceLinked="0"/>
              <c:spPr>
                <a:noFill/>
                <a:ln>
                  <a:noFill/>
                </a:ln>
                <a:effectLst/>
              </c:spPr>
              <c:txPr>
                <a:bodyPr wrap="square" lIns="38100" tIns="19050" rIns="38100" bIns="19050" anchor="ctr">
                  <a:noAutofit/>
                </a:bodyPr>
                <a:lstStyle/>
                <a:p>
                  <a:pPr>
                    <a:defRPr/>
                  </a:pPr>
                  <a:endParaRPr lang="en-US"/>
                </a:p>
              </c:txPr>
              <c:dLblPos val="ctr"/>
              <c:showLegendKey val="0"/>
              <c:showVal val="1"/>
              <c:showCatName val="1"/>
              <c:showSerName val="0"/>
              <c:showPercent val="0"/>
              <c:showBubbleSize val="0"/>
              <c:extLst>
                <c:ext xmlns:c15="http://schemas.microsoft.com/office/drawing/2012/chart" uri="{CE6537A1-D6FC-4f65-9D91-7224C49458BB}">
                  <c15:layout>
                    <c:manualLayout>
                      <c:w val="9.7277552858926877E-2"/>
                      <c:h val="0.18443335887194978"/>
                    </c:manualLayout>
                  </c15:layout>
                </c:ext>
                <c:ext xmlns:c16="http://schemas.microsoft.com/office/drawing/2014/chart" uri="{C3380CC4-5D6E-409C-BE32-E72D297353CC}">
                  <c16:uniqueId val="{00000001-9AA3-4986-B125-3429FA01D5B1}"/>
                </c:ext>
              </c:extLst>
            </c:dLbl>
            <c:dLbl>
              <c:idx val="1"/>
              <c:layout>
                <c:manualLayout>
                  <c:x val="-1.22333741899169E-3"/>
                  <c:y val="-1.5199499413861823E-2"/>
                </c:manualLayout>
              </c:layout>
              <c:numFmt formatCode="#,##0.0" sourceLinked="0"/>
              <c:spPr>
                <a:noFill/>
                <a:ln>
                  <a:noFill/>
                </a:ln>
                <a:effectLst/>
              </c:spPr>
              <c:txPr>
                <a:bodyPr wrap="square" lIns="38100" tIns="19050" rIns="38100" bIns="19050" anchor="ctr">
                  <a:noAutofit/>
                </a:bodyPr>
                <a:lstStyle/>
                <a:p>
                  <a:pPr>
                    <a:defRPr/>
                  </a:pPr>
                  <a:endParaRPr lang="en-US"/>
                </a:p>
              </c:txPr>
              <c:dLblPos val="ctr"/>
              <c:showLegendKey val="0"/>
              <c:showVal val="1"/>
              <c:showCatName val="1"/>
              <c:showSerName val="0"/>
              <c:showPercent val="0"/>
              <c:showBubbleSize val="0"/>
              <c:extLst>
                <c:ext xmlns:c15="http://schemas.microsoft.com/office/drawing/2012/chart" uri="{CE6537A1-D6FC-4f65-9D91-7224C49458BB}">
                  <c15:layout>
                    <c:manualLayout>
                      <c:w val="9.2640825166833182E-2"/>
                      <c:h val="0.27260302198761183"/>
                    </c:manualLayout>
                  </c15:layout>
                </c:ext>
                <c:ext xmlns:c16="http://schemas.microsoft.com/office/drawing/2014/chart" uri="{C3380CC4-5D6E-409C-BE32-E72D297353CC}">
                  <c16:uniqueId val="{00000003-9AA3-4986-B125-3429FA01D5B1}"/>
                </c:ext>
              </c:extLst>
            </c:dLbl>
            <c:dLbl>
              <c:idx val="2"/>
              <c:delete val="1"/>
              <c:extLst>
                <c:ext xmlns:c15="http://schemas.microsoft.com/office/drawing/2012/chart" uri="{CE6537A1-D6FC-4f65-9D91-7224C49458BB}"/>
                <c:ext xmlns:c16="http://schemas.microsoft.com/office/drawing/2014/chart" uri="{C3380CC4-5D6E-409C-BE32-E72D297353CC}">
                  <c16:uniqueId val="{00000005-9AA3-4986-B125-3429FA01D5B1}"/>
                </c:ext>
              </c:extLst>
            </c:dLbl>
            <c:dLbl>
              <c:idx val="3"/>
              <c:layout>
                <c:manualLayout>
                  <c:x val="4.8164786673215546E-8"/>
                  <c:y val="-2.7865748925413342E-2"/>
                </c:manualLayout>
              </c:layout>
              <c:numFmt formatCode="#,##0.0" sourceLinked="0"/>
              <c:spPr>
                <a:noFill/>
                <a:ln>
                  <a:noFill/>
                </a:ln>
                <a:effectLst/>
              </c:spPr>
              <c:txPr>
                <a:bodyPr wrap="square" lIns="38100" tIns="19050" rIns="38100" bIns="19050" anchor="ctr">
                  <a:noAutofit/>
                </a:bodyPr>
                <a:lstStyle/>
                <a:p>
                  <a:pPr>
                    <a:defRPr/>
                  </a:pPr>
                  <a:endParaRPr lang="en-US"/>
                </a:p>
              </c:txPr>
              <c:dLblPos val="ctr"/>
              <c:showLegendKey val="0"/>
              <c:showVal val="1"/>
              <c:showCatName val="1"/>
              <c:showSerName val="0"/>
              <c:showPercent val="0"/>
              <c:showBubbleSize val="0"/>
              <c:extLst>
                <c:ext xmlns:c15="http://schemas.microsoft.com/office/drawing/2012/chart" uri="{CE6537A1-D6FC-4f65-9D91-7224C49458BB}">
                  <c15:layout>
                    <c:manualLayout>
                      <c:w val="0.10325374327089762"/>
                      <c:h val="0.18900577521137177"/>
                    </c:manualLayout>
                  </c15:layout>
                </c:ext>
                <c:ext xmlns:c16="http://schemas.microsoft.com/office/drawing/2014/chart" uri="{C3380CC4-5D6E-409C-BE32-E72D297353CC}">
                  <c16:uniqueId val="{00000007-9AA3-4986-B125-3429FA01D5B1}"/>
                </c:ext>
              </c:extLst>
            </c:dLbl>
            <c:numFmt formatCode="#,##0.0" sourceLinked="0"/>
            <c:spPr>
              <a:noFill/>
              <a:ln>
                <a:noFill/>
              </a:ln>
              <a:effectLst/>
            </c:spPr>
            <c:dLblPos val="ct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'Fig2'!$C$51:$C$54</c:f>
              <c:strCache>
                <c:ptCount val="4"/>
                <c:pt idx="0">
                  <c:v>Domestic extraction</c:v>
                </c:pt>
                <c:pt idx="1">
                  <c:v>Domestic material consumption (DMC)</c:v>
                </c:pt>
                <c:pt idx="2">
                  <c:v>Domestic extraction</c:v>
                </c:pt>
                <c:pt idx="3">
                  <c:v>Raw material consumption (RMC)</c:v>
                </c:pt>
              </c:strCache>
            </c:strRef>
          </c:cat>
          <c:val>
            <c:numRef>
              <c:f>'Fig2'!$D$51:$D$54</c:f>
              <c:numCache>
                <c:formatCode>#\ ###\ ##0.0</c:formatCode>
                <c:ptCount val="4"/>
                <c:pt idx="0">
                  <c:v>11.917</c:v>
                </c:pt>
                <c:pt idx="1">
                  <c:v>14.051</c:v>
                </c:pt>
                <c:pt idx="2">
                  <c:v>11.917</c:v>
                </c:pt>
                <c:pt idx="3">
                  <c:v>14.458</c:v>
                </c:pt>
              </c:numCache>
            </c:numRef>
          </c:val>
          <c:extLst>
            <c:ext xmlns:c16="http://schemas.microsoft.com/office/drawing/2014/chart" uri="{C3380CC4-5D6E-409C-BE32-E72D297353CC}">
              <c16:uniqueId val="{00000008-9AA3-4986-B125-3429FA01D5B1}"/>
            </c:ext>
          </c:extLst>
        </c:ser>
        <c:ser>
          <c:idx val="1"/>
          <c:order val="1"/>
          <c:tx>
            <c:v>Series 2</c:v>
          </c:tx>
          <c:spPr>
            <a:solidFill>
              <a:srgbClr val="C84B96">
                <a:lumMod val="100000"/>
              </a:srgbClr>
            </a:solidFill>
            <a:ln>
              <a:noFill/>
            </a:ln>
          </c:spPr>
          <c:invertIfNegative val="0"/>
          <c:dPt>
            <c:idx val="0"/>
            <c:invertIfNegative val="0"/>
            <c:bubble3D val="0"/>
            <c:extLst>
              <c:ext xmlns:c16="http://schemas.microsoft.com/office/drawing/2014/chart" uri="{C3380CC4-5D6E-409C-BE32-E72D297353CC}">
                <c16:uniqueId val="{0000000A-9AA3-4986-B125-3429FA01D5B1}"/>
              </c:ext>
            </c:extLst>
          </c:dPt>
          <c:dPt>
            <c:idx val="1"/>
            <c:invertIfNegative val="0"/>
            <c:bubble3D val="0"/>
            <c:spPr>
              <a:solidFill>
                <a:schemeClr val="accent3"/>
              </a:solidFill>
              <a:ln>
                <a:noFill/>
              </a:ln>
            </c:spPr>
            <c:extLst>
              <c:ext xmlns:c16="http://schemas.microsoft.com/office/drawing/2014/chart" uri="{C3380CC4-5D6E-409C-BE32-E72D297353CC}">
                <c16:uniqueId val="{0000000C-9AA3-4986-B125-3429FA01D5B1}"/>
              </c:ext>
            </c:extLst>
          </c:dPt>
          <c:dPt>
            <c:idx val="2"/>
            <c:invertIfNegative val="0"/>
            <c:bubble3D val="0"/>
            <c:spPr>
              <a:solidFill>
                <a:schemeClr val="accent2">
                  <a:lumMod val="40000"/>
                  <a:lumOff val="60000"/>
                </a:schemeClr>
              </a:solidFill>
              <a:ln>
                <a:noFill/>
              </a:ln>
            </c:spPr>
            <c:extLst>
              <c:ext xmlns:c16="http://schemas.microsoft.com/office/drawing/2014/chart" uri="{C3380CC4-5D6E-409C-BE32-E72D297353CC}">
                <c16:uniqueId val="{0000000E-9AA3-4986-B125-3429FA01D5B1}"/>
              </c:ext>
            </c:extLst>
          </c:dPt>
          <c:dPt>
            <c:idx val="3"/>
            <c:invertIfNegative val="0"/>
            <c:bubble3D val="0"/>
            <c:spPr>
              <a:solidFill>
                <a:schemeClr val="accent3">
                  <a:lumMod val="40000"/>
                  <a:lumOff val="60000"/>
                </a:schemeClr>
              </a:solidFill>
              <a:ln>
                <a:noFill/>
              </a:ln>
            </c:spPr>
            <c:extLst>
              <c:ext xmlns:c16="http://schemas.microsoft.com/office/drawing/2014/chart" uri="{C3380CC4-5D6E-409C-BE32-E72D297353CC}">
                <c16:uniqueId val="{00000010-9AA3-4986-B125-3429FA01D5B1}"/>
              </c:ext>
            </c:extLst>
          </c:dPt>
          <c:dLbls>
            <c:dLbl>
              <c:idx val="0"/>
              <c:layout/>
              <c:tx>
                <c:rich>
                  <a:bodyPr/>
                  <a:lstStyle/>
                  <a:p>
                    <a:r>
                      <a:rPr lang="en-US">
                        <a:solidFill>
                          <a:schemeClr val="bg1"/>
                        </a:solidFill>
                      </a:rPr>
                      <a:t>  Imports,</a:t>
                    </a:r>
                  </a:p>
                  <a:p>
                    <a:r>
                      <a:rPr lang="en-US">
                        <a:solidFill>
                          <a:schemeClr val="bg1"/>
                        </a:solidFill>
                      </a:rPr>
                      <a:t>3.8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AA3-4986-B125-3429FA01D5B1}"/>
                </c:ext>
              </c:extLst>
            </c:dLbl>
            <c:dLbl>
              <c:idx val="1"/>
              <c:layout/>
              <c:tx>
                <c:rich>
                  <a:bodyPr/>
                  <a:lstStyle/>
                  <a:p>
                    <a:r>
                      <a:rPr lang="en-US">
                        <a:solidFill>
                          <a:schemeClr val="bg1"/>
                        </a:solidFill>
                      </a:rPr>
                      <a:t>   Exports, 1.7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AA3-4986-B125-3429FA01D5B1}"/>
                </c:ext>
              </c:extLst>
            </c:dLbl>
            <c:dLbl>
              <c:idx val="2"/>
              <c:layout/>
              <c:tx>
                <c:rich>
                  <a:bodyPr/>
                  <a:lstStyle/>
                  <a:p>
                    <a:r>
                      <a:rPr lang="en-US"/>
                      <a:t>  Imports in RME,</a:t>
                    </a:r>
                  </a:p>
                  <a:p>
                    <a:r>
                      <a:rPr lang="en-US"/>
                      <a:t>7.8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AA3-4986-B125-3429FA01D5B1}"/>
                </c:ext>
              </c:extLst>
            </c:dLbl>
            <c:dLbl>
              <c:idx val="3"/>
              <c:layout/>
              <c:tx>
                <c:rich>
                  <a:bodyPr/>
                  <a:lstStyle/>
                  <a:p>
                    <a:r>
                      <a:rPr lang="en-US" sz="1400"/>
                      <a:t> </a:t>
                    </a:r>
                    <a:r>
                      <a:rPr lang="en-US" sz="1200" baseline="0"/>
                      <a:t>Exports in RME,</a:t>
                    </a:r>
                  </a:p>
                  <a:p>
                    <a:r>
                      <a:rPr lang="en-US" sz="1200" baseline="0"/>
                      <a:t>5.3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AA3-4986-B125-3429FA01D5B1}"/>
                </c:ext>
              </c:extLst>
            </c:dLbl>
            <c:spPr>
              <a:noFill/>
              <a:ln>
                <a:noFill/>
              </a:ln>
              <a:effectLst/>
            </c:spPr>
            <c:txPr>
              <a:bodyPr/>
              <a:lstStyle/>
              <a:p>
                <a:pPr>
                  <a:defRPr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'Fig2'!$C$51:$C$54</c:f>
              <c:strCache>
                <c:ptCount val="4"/>
                <c:pt idx="0">
                  <c:v>Domestic extraction</c:v>
                </c:pt>
                <c:pt idx="1">
                  <c:v>Domestic material consumption (DMC)</c:v>
                </c:pt>
                <c:pt idx="2">
                  <c:v>Domestic extraction</c:v>
                </c:pt>
                <c:pt idx="3">
                  <c:v>Raw material consumption (RMC)</c:v>
                </c:pt>
              </c:strCache>
            </c:strRef>
          </c:cat>
          <c:val>
            <c:numRef>
              <c:f>'Fig2'!$F$51:$F$54</c:f>
              <c:numCache>
                <c:formatCode>#\ ###\ ##0.0</c:formatCode>
                <c:ptCount val="4"/>
                <c:pt idx="0">
                  <c:v>3.802</c:v>
                </c:pt>
                <c:pt idx="1">
                  <c:v>1.6679999999999999</c:v>
                </c:pt>
                <c:pt idx="2">
                  <c:v>7.6509999999999998</c:v>
                </c:pt>
                <c:pt idx="3">
                  <c:v>5.1100000000000003</c:v>
                </c:pt>
              </c:numCache>
            </c:numRef>
          </c:val>
          <c:extLst>
            <c:ext xmlns:c16="http://schemas.microsoft.com/office/drawing/2014/chart" uri="{C3380CC4-5D6E-409C-BE32-E72D297353CC}">
              <c16:uniqueId val="{00000011-9AA3-4986-B125-3429FA01D5B1}"/>
            </c:ext>
          </c:extLst>
        </c:ser>
        <c:dLbls>
          <c:showLegendKey val="0"/>
          <c:showVal val="0"/>
          <c:showCatName val="0"/>
          <c:showSerName val="0"/>
          <c:showPercent val="0"/>
          <c:showBubbleSize val="0"/>
        </c:dLbls>
        <c:gapWidth val="70"/>
        <c:overlap val="100"/>
        <c:axId val="168240640"/>
        <c:axId val="168242176"/>
      </c:barChart>
      <c:catAx>
        <c:axId val="168240640"/>
        <c:scaling>
          <c:orientation val="minMax"/>
        </c:scaling>
        <c:delete val="0"/>
        <c:axPos val="b"/>
        <c:numFmt formatCode="General" sourceLinked="0"/>
        <c:majorTickMark val="out"/>
        <c:minorTickMark val="none"/>
        <c:tickLblPos val="none"/>
        <c:spPr>
          <a:ln>
            <a:solidFill>
              <a:srgbClr val="000000"/>
            </a:solidFill>
            <a:prstDash val="solid"/>
          </a:ln>
        </c:spPr>
        <c:crossAx val="168242176"/>
        <c:crosses val="autoZero"/>
        <c:auto val="1"/>
        <c:lblAlgn val="ctr"/>
        <c:lblOffset val="100"/>
        <c:tickMarkSkip val="1"/>
        <c:noMultiLvlLbl val="0"/>
      </c:catAx>
      <c:valAx>
        <c:axId val="168242176"/>
        <c:scaling>
          <c:orientation val="minMax"/>
          <c:max val="20"/>
        </c:scaling>
        <c:delete val="0"/>
        <c:axPos val="l"/>
        <c:majorGridlines>
          <c:spPr>
            <a:ln w="3175" cap="rnd">
              <a:solidFill>
                <a:srgbClr val="C0C0C0"/>
              </a:solidFill>
              <a:prstDash val="sysDash"/>
            </a:ln>
          </c:spPr>
        </c:majorGridlines>
        <c:numFmt formatCode="#,##0" sourceLinked="0"/>
        <c:majorTickMark val="out"/>
        <c:minorTickMark val="none"/>
        <c:tickLblPos val="nextTo"/>
        <c:spPr>
          <a:ln>
            <a:noFill/>
          </a:ln>
        </c:spPr>
        <c:txPr>
          <a:bodyPr rot="0" vert="horz"/>
          <a:lstStyle/>
          <a:p>
            <a:pPr>
              <a:defRPr/>
            </a:pPr>
            <a:endParaRPr lang="en-US"/>
          </a:p>
        </c:txPr>
        <c:crossAx val="168240640"/>
        <c:crosses val="autoZero"/>
        <c:crossBetween val="between"/>
      </c:valAx>
      <c:spPr>
        <a:noFill/>
        <a:ln w="25400">
          <a:noFill/>
        </a:ln>
      </c:spPr>
    </c:plotArea>
    <c:plotVisOnly val="1"/>
    <c:dispBlanksAs val="gap"/>
    <c:showDLblsOverMax val="0"/>
  </c:chart>
  <c:spPr>
    <a:ln>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8740157499999996" l="0.7" r="0.7" t="0.78740157499999996"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Raw material consumption (RMC) by main material categories, EU-27, 2000-2019</a:t>
            </a:r>
          </a:p>
          <a:p>
            <a:pPr algn="l">
              <a:defRPr sz="1800" b="1">
                <a:latin typeface="Arial"/>
                <a:ea typeface="Arial"/>
                <a:cs typeface="Arial"/>
              </a:defRPr>
            </a:pPr>
            <a:r>
              <a:rPr lang="en-US" sz="1600" b="0"/>
              <a:t>(tonnes per capita)</a:t>
            </a:r>
          </a:p>
        </c:rich>
      </c:tx>
      <c:layout>
        <c:manualLayout>
          <c:xMode val="edge"/>
          <c:yMode val="edge"/>
          <c:x val="5.3333191900249701E-3"/>
          <c:y val="8.7985430895150592E-3"/>
        </c:manualLayout>
      </c:layout>
      <c:overlay val="0"/>
    </c:title>
    <c:autoTitleDeleted val="0"/>
    <c:plotArea>
      <c:layout>
        <c:manualLayout>
          <c:xMode val="edge"/>
          <c:yMode val="edge"/>
          <c:x val="1.8186666666666667E-2"/>
          <c:y val="0.16988499308843116"/>
          <c:w val="0.72644419947506567"/>
          <c:h val="0.73040967304408488"/>
        </c:manualLayout>
      </c:layout>
      <c:areaChart>
        <c:grouping val="stacked"/>
        <c:varyColors val="0"/>
        <c:ser>
          <c:idx val="0"/>
          <c:order val="1"/>
          <c:tx>
            <c:strRef>
              <c:f>'Fig3'!$C$54</c:f>
              <c:strCache>
                <c:ptCount val="1"/>
                <c:pt idx="0">
                  <c:v>Biomass</c:v>
                </c:pt>
              </c:strCache>
            </c:strRef>
          </c:tx>
          <c:spPr>
            <a:solidFill>
              <a:schemeClr val="accent1"/>
            </a:solidFill>
            <a:ln w="25400">
              <a:noFill/>
            </a:ln>
          </c:spPr>
          <c:cat>
            <c:numRef>
              <c:f>'Fig3'!$D$53:$W$53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'Fig3'!$D$54:$W$54</c:f>
              <c:numCache>
                <c:formatCode>0.0</c:formatCode>
                <c:ptCount val="20"/>
                <c:pt idx="0">
                  <c:v>3.359</c:v>
                </c:pt>
                <c:pt idx="1">
                  <c:v>3.3490000000000002</c:v>
                </c:pt>
                <c:pt idx="2">
                  <c:v>3.3420000000000001</c:v>
                </c:pt>
                <c:pt idx="3">
                  <c:v>3.0830000000000002</c:v>
                </c:pt>
                <c:pt idx="4">
                  <c:v>3.52</c:v>
                </c:pt>
                <c:pt idx="5">
                  <c:v>3.3359999999999999</c:v>
                </c:pt>
                <c:pt idx="6">
                  <c:v>3.1749999999999998</c:v>
                </c:pt>
                <c:pt idx="7">
                  <c:v>3.2879999999999998</c:v>
                </c:pt>
                <c:pt idx="8">
                  <c:v>3.3220000000000001</c:v>
                </c:pt>
                <c:pt idx="9">
                  <c:v>3.2090000000000001</c:v>
                </c:pt>
                <c:pt idx="10">
                  <c:v>3.1419999999999999</c:v>
                </c:pt>
                <c:pt idx="11">
                  <c:v>3.2789999999999999</c:v>
                </c:pt>
                <c:pt idx="12">
                  <c:v>3.1349999999999998</c:v>
                </c:pt>
                <c:pt idx="13">
                  <c:v>3.1880000000000002</c:v>
                </c:pt>
                <c:pt idx="14">
                  <c:v>3.4079999999999999</c:v>
                </c:pt>
                <c:pt idx="15">
                  <c:v>3.1539999999999999</c:v>
                </c:pt>
                <c:pt idx="16">
                  <c:v>3.21</c:v>
                </c:pt>
                <c:pt idx="17">
                  <c:v>3.32</c:v>
                </c:pt>
                <c:pt idx="18">
                  <c:v>3.2250000000000001</c:v>
                </c:pt>
                <c:pt idx="19">
                  <c:v>3.1859999999999999</c:v>
                </c:pt>
              </c:numCache>
            </c:numRef>
          </c:val>
          <c:extLst>
            <c:ext xmlns:c16="http://schemas.microsoft.com/office/drawing/2014/chart" uri="{C3380CC4-5D6E-409C-BE32-E72D297353CC}">
              <c16:uniqueId val="{00000000-C681-42B9-8B7A-2EE0BB0D269D}"/>
            </c:ext>
          </c:extLst>
        </c:ser>
        <c:ser>
          <c:idx val="1"/>
          <c:order val="2"/>
          <c:tx>
            <c:strRef>
              <c:f>'Fig3'!$C$55</c:f>
              <c:strCache>
                <c:ptCount val="1"/>
                <c:pt idx="0">
                  <c:v>Metal ores</c:v>
                </c:pt>
              </c:strCache>
            </c:strRef>
          </c:tx>
          <c:spPr>
            <a:solidFill>
              <a:schemeClr val="accent2"/>
            </a:solidFill>
            <a:ln w="25400">
              <a:noFill/>
            </a:ln>
          </c:spPr>
          <c:cat>
            <c:numRef>
              <c:f>'Fig3'!$D$53:$W$53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'Fig3'!$D$55:$W$55</c:f>
              <c:numCache>
                <c:formatCode>0.0</c:formatCode>
                <c:ptCount val="20"/>
                <c:pt idx="0">
                  <c:v>1.6479999999999999</c:v>
                </c:pt>
                <c:pt idx="1">
                  <c:v>1.7470000000000001</c:v>
                </c:pt>
                <c:pt idx="2">
                  <c:v>1.7849999999999999</c:v>
                </c:pt>
                <c:pt idx="3">
                  <c:v>1.8</c:v>
                </c:pt>
                <c:pt idx="4">
                  <c:v>1.7250000000000001</c:v>
                </c:pt>
                <c:pt idx="5">
                  <c:v>1.75</c:v>
                </c:pt>
                <c:pt idx="6">
                  <c:v>1.895</c:v>
                </c:pt>
                <c:pt idx="7">
                  <c:v>1.8540000000000001</c:v>
                </c:pt>
                <c:pt idx="8">
                  <c:v>1.774</c:v>
                </c:pt>
                <c:pt idx="9">
                  <c:v>1.26</c:v>
                </c:pt>
                <c:pt idx="10">
                  <c:v>1.49</c:v>
                </c:pt>
                <c:pt idx="11">
                  <c:v>1.4370000000000001</c:v>
                </c:pt>
                <c:pt idx="12">
                  <c:v>1.29</c:v>
                </c:pt>
                <c:pt idx="13">
                  <c:v>1.347</c:v>
                </c:pt>
                <c:pt idx="14">
                  <c:v>1.3460000000000001</c:v>
                </c:pt>
                <c:pt idx="15">
                  <c:v>1.39</c:v>
                </c:pt>
                <c:pt idx="16">
                  <c:v>1.4039999999999999</c:v>
                </c:pt>
                <c:pt idx="17">
                  <c:v>1.4590000000000001</c:v>
                </c:pt>
                <c:pt idx="18">
                  <c:v>1.466</c:v>
                </c:pt>
                <c:pt idx="19">
                  <c:v>1.351</c:v>
                </c:pt>
              </c:numCache>
            </c:numRef>
          </c:val>
          <c:extLst>
            <c:ext xmlns:c16="http://schemas.microsoft.com/office/drawing/2014/chart" uri="{C3380CC4-5D6E-409C-BE32-E72D297353CC}">
              <c16:uniqueId val="{00000001-C681-42B9-8B7A-2EE0BB0D269D}"/>
            </c:ext>
          </c:extLst>
        </c:ser>
        <c:ser>
          <c:idx val="2"/>
          <c:order val="3"/>
          <c:tx>
            <c:strRef>
              <c:f>'Fig3'!$C$56</c:f>
              <c:strCache>
                <c:ptCount val="1"/>
                <c:pt idx="0">
                  <c:v>Non-metallic minerals</c:v>
                </c:pt>
              </c:strCache>
            </c:strRef>
          </c:tx>
          <c:spPr>
            <a:solidFill>
              <a:schemeClr val="accent3"/>
            </a:solidFill>
            <a:ln w="25400">
              <a:noFill/>
            </a:ln>
          </c:spPr>
          <c:cat>
            <c:numRef>
              <c:f>'Fig3'!$D$53:$W$53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'Fig3'!$D$56:$W$56</c:f>
              <c:numCache>
                <c:formatCode>0.0</c:formatCode>
                <c:ptCount val="20"/>
                <c:pt idx="0">
                  <c:v>7.4409999999999998</c:v>
                </c:pt>
                <c:pt idx="1">
                  <c:v>7.5709999999999997</c:v>
                </c:pt>
                <c:pt idx="2">
                  <c:v>7.569</c:v>
                </c:pt>
                <c:pt idx="3">
                  <c:v>7.819</c:v>
                </c:pt>
                <c:pt idx="4">
                  <c:v>7.9589999999999996</c:v>
                </c:pt>
                <c:pt idx="5">
                  <c:v>8.2560000000000002</c:v>
                </c:pt>
                <c:pt idx="6">
                  <c:v>8.8030000000000008</c:v>
                </c:pt>
                <c:pt idx="7">
                  <c:v>9.2780000000000005</c:v>
                </c:pt>
                <c:pt idx="8">
                  <c:v>8.8859999999999992</c:v>
                </c:pt>
                <c:pt idx="9">
                  <c:v>7.415</c:v>
                </c:pt>
                <c:pt idx="10">
                  <c:v>6.8979999999999997</c:v>
                </c:pt>
                <c:pt idx="11">
                  <c:v>7.4560000000000004</c:v>
                </c:pt>
                <c:pt idx="12">
                  <c:v>6.5659999999999998</c:v>
                </c:pt>
                <c:pt idx="13">
                  <c:v>6.1449999999999996</c:v>
                </c:pt>
                <c:pt idx="14">
                  <c:v>6.1420000000000003</c:v>
                </c:pt>
                <c:pt idx="15">
                  <c:v>6.2279999999999998</c:v>
                </c:pt>
                <c:pt idx="16">
                  <c:v>6.2409999999999997</c:v>
                </c:pt>
                <c:pt idx="17">
                  <c:v>6.4059999999999997</c:v>
                </c:pt>
                <c:pt idx="18">
                  <c:v>6.6909999999999998</c:v>
                </c:pt>
                <c:pt idx="19">
                  <c:v>6.8559999999999999</c:v>
                </c:pt>
              </c:numCache>
            </c:numRef>
          </c:val>
          <c:extLst>
            <c:ext xmlns:c16="http://schemas.microsoft.com/office/drawing/2014/chart" uri="{C3380CC4-5D6E-409C-BE32-E72D297353CC}">
              <c16:uniqueId val="{00000002-C681-42B9-8B7A-2EE0BB0D269D}"/>
            </c:ext>
          </c:extLst>
        </c:ser>
        <c:ser>
          <c:idx val="3"/>
          <c:order val="4"/>
          <c:tx>
            <c:strRef>
              <c:f>'Fig3'!$C$57</c:f>
              <c:strCache>
                <c:ptCount val="1"/>
                <c:pt idx="0">
                  <c:v>Fossil energy materials</c:v>
                </c:pt>
              </c:strCache>
            </c:strRef>
          </c:tx>
          <c:spPr>
            <a:solidFill>
              <a:schemeClr val="accent6"/>
            </a:solidFill>
            <a:ln w="25400">
              <a:noFill/>
            </a:ln>
          </c:spPr>
          <c:cat>
            <c:numRef>
              <c:f>'Fig3'!$D$53:$W$53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'Fig3'!$D$57:$W$57</c:f>
              <c:numCache>
                <c:formatCode>0.0</c:formatCode>
                <c:ptCount val="20"/>
                <c:pt idx="0">
                  <c:v>3.734</c:v>
                </c:pt>
                <c:pt idx="1">
                  <c:v>3.86</c:v>
                </c:pt>
                <c:pt idx="2">
                  <c:v>3.7570000000000001</c:v>
                </c:pt>
                <c:pt idx="3">
                  <c:v>3.8180000000000001</c:v>
                </c:pt>
                <c:pt idx="4">
                  <c:v>3.948</c:v>
                </c:pt>
                <c:pt idx="5">
                  <c:v>3.9780000000000002</c:v>
                </c:pt>
                <c:pt idx="6">
                  <c:v>4.0460000000000003</c:v>
                </c:pt>
                <c:pt idx="7">
                  <c:v>3.8860000000000001</c:v>
                </c:pt>
                <c:pt idx="8">
                  <c:v>3.8980000000000001</c:v>
                </c:pt>
                <c:pt idx="9">
                  <c:v>3.5590000000000002</c:v>
                </c:pt>
                <c:pt idx="10">
                  <c:v>3.5049999999999999</c:v>
                </c:pt>
                <c:pt idx="11">
                  <c:v>3.4319999999999999</c:v>
                </c:pt>
                <c:pt idx="12">
                  <c:v>3.3319999999999999</c:v>
                </c:pt>
                <c:pt idx="13">
                  <c:v>3.2839999999999998</c:v>
                </c:pt>
                <c:pt idx="14">
                  <c:v>3.1070000000000002</c:v>
                </c:pt>
                <c:pt idx="15">
                  <c:v>3.1339999999999999</c:v>
                </c:pt>
                <c:pt idx="16">
                  <c:v>2.9780000000000002</c:v>
                </c:pt>
                <c:pt idx="17">
                  <c:v>3.1360000000000001</c:v>
                </c:pt>
                <c:pt idx="18">
                  <c:v>3.1659999999999999</c:v>
                </c:pt>
                <c:pt idx="19">
                  <c:v>3.0659999999999998</c:v>
                </c:pt>
              </c:numCache>
            </c:numRef>
          </c:val>
          <c:extLst>
            <c:ext xmlns:c16="http://schemas.microsoft.com/office/drawing/2014/chart" uri="{C3380CC4-5D6E-409C-BE32-E72D297353CC}">
              <c16:uniqueId val="{00000003-C681-42B9-8B7A-2EE0BB0D269D}"/>
            </c:ext>
          </c:extLst>
        </c:ser>
        <c:dLbls>
          <c:showLegendKey val="0"/>
          <c:showVal val="0"/>
          <c:showCatName val="0"/>
          <c:showSerName val="0"/>
          <c:showPercent val="0"/>
          <c:showBubbleSize val="0"/>
        </c:dLbls>
        <c:axId val="168426496"/>
        <c:axId val="168760064"/>
      </c:areaChart>
      <c:lineChart>
        <c:grouping val="standard"/>
        <c:varyColors val="0"/>
        <c:ser>
          <c:idx val="4"/>
          <c:order val="0"/>
          <c:tx>
            <c:strRef>
              <c:f>'Fig3'!$C$63</c:f>
              <c:strCache>
                <c:ptCount val="1"/>
                <c:pt idx="0">
                  <c:v>DMC</c:v>
                </c:pt>
              </c:strCache>
            </c:strRef>
          </c:tx>
          <c:spPr>
            <a:ln>
              <a:solidFill>
                <a:schemeClr val="tx1"/>
              </a:solidFill>
              <a:prstDash val="sysDash"/>
            </a:ln>
          </c:spPr>
          <c:marker>
            <c:symbol val="none"/>
          </c:marker>
          <c:cat>
            <c:numRef>
              <c:f>'Fig3'!$D$53:$T$53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'Fig3'!$D$63:$W$63</c:f>
              <c:numCache>
                <c:formatCode>0.0</c:formatCode>
                <c:ptCount val="20"/>
                <c:pt idx="0">
                  <c:v>15.377000000000001</c:v>
                </c:pt>
                <c:pt idx="1">
                  <c:v>15.414999999999999</c:v>
                </c:pt>
                <c:pt idx="2">
                  <c:v>15.52</c:v>
                </c:pt>
                <c:pt idx="3">
                  <c:v>15.617000000000001</c:v>
                </c:pt>
                <c:pt idx="4">
                  <c:v>16.28</c:v>
                </c:pt>
                <c:pt idx="5">
                  <c:v>16.356999999999999</c:v>
                </c:pt>
                <c:pt idx="6">
                  <c:v>16.702999999999999</c:v>
                </c:pt>
                <c:pt idx="7">
                  <c:v>17.274999999999999</c:v>
                </c:pt>
                <c:pt idx="8">
                  <c:v>16.890999999999998</c:v>
                </c:pt>
                <c:pt idx="9">
                  <c:v>14.794</c:v>
                </c:pt>
                <c:pt idx="10">
                  <c:v>14.337999999999999</c:v>
                </c:pt>
                <c:pt idx="11">
                  <c:v>15.122</c:v>
                </c:pt>
                <c:pt idx="12">
                  <c:v>13.933999999999999</c:v>
                </c:pt>
                <c:pt idx="13">
                  <c:v>13.545999999999999</c:v>
                </c:pt>
                <c:pt idx="14">
                  <c:v>13.65</c:v>
                </c:pt>
                <c:pt idx="15">
                  <c:v>13.603</c:v>
                </c:pt>
                <c:pt idx="16">
                  <c:v>13.553000000000001</c:v>
                </c:pt>
                <c:pt idx="17">
                  <c:v>13.973000000000001</c:v>
                </c:pt>
                <c:pt idx="18">
                  <c:v>14.154999999999999</c:v>
                </c:pt>
                <c:pt idx="19">
                  <c:v>14.051</c:v>
                </c:pt>
              </c:numCache>
            </c:numRef>
          </c:val>
          <c:smooth val="0"/>
          <c:extLst>
            <c:ext xmlns:c16="http://schemas.microsoft.com/office/drawing/2014/chart" uri="{C3380CC4-5D6E-409C-BE32-E72D297353CC}">
              <c16:uniqueId val="{00000004-C681-42B9-8B7A-2EE0BB0D269D}"/>
            </c:ext>
          </c:extLst>
        </c:ser>
        <c:dLbls>
          <c:showLegendKey val="0"/>
          <c:showVal val="0"/>
          <c:showCatName val="0"/>
          <c:showSerName val="0"/>
          <c:showPercent val="0"/>
          <c:showBubbleSize val="0"/>
        </c:dLbls>
        <c:marker val="1"/>
        <c:smooth val="0"/>
        <c:axId val="168426496"/>
        <c:axId val="168760064"/>
      </c:lineChart>
      <c:catAx>
        <c:axId val="168426496"/>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68760064"/>
        <c:crosses val="autoZero"/>
        <c:auto val="1"/>
        <c:lblAlgn val="ctr"/>
        <c:lblOffset val="100"/>
        <c:tickMarkSkip val="1"/>
        <c:noMultiLvlLbl val="0"/>
      </c:catAx>
      <c:valAx>
        <c:axId val="168760064"/>
        <c:scaling>
          <c:orientation val="minMax"/>
        </c:scaling>
        <c:delete val="0"/>
        <c:axPos val="l"/>
        <c:majorGridlines>
          <c:spPr>
            <a:ln w="3175">
              <a:solidFill>
                <a:srgbClr val="C0C0C0"/>
              </a:solidFill>
              <a:prstDash val="sysDash"/>
            </a:ln>
          </c:spPr>
        </c:majorGridlines>
        <c:numFmt formatCode="#,##0;[Red]#,##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68426496"/>
        <c:crosses val="autoZero"/>
        <c:crossBetween val="midCat"/>
      </c:valAx>
    </c:plotArea>
    <c:legend>
      <c:legendPos val="r"/>
      <c:layout>
        <c:manualLayout>
          <c:xMode val="edge"/>
          <c:yMode val="edge"/>
          <c:x val="0.74278582677165339"/>
          <c:y val="0.47186694454966377"/>
          <c:w val="0.22921417322834645"/>
          <c:h val="0.2999868540766131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zero"/>
    <c:showDLblsOverMax val="0"/>
  </c:chart>
  <c:spPr>
    <a:ln>
      <a:noFill/>
    </a:ln>
  </c:spPr>
  <c:txPr>
    <a:bodyPr/>
    <a:lstStyle/>
    <a:p>
      <a:pPr>
        <a:defRPr sz="1200">
          <a:solidFill>
            <a:srgbClr val="000000"/>
          </a:solidFill>
          <a:latin typeface="Arial"/>
          <a:ea typeface="Arial"/>
          <a:cs typeface="Arial"/>
        </a:defRPr>
      </a:pPr>
      <a:endParaRPr lang="en-US"/>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Raw material consumption (RMC) as result of final consumption expenditure and gross capital formation, by type of material, EU-27, 2019</a:t>
            </a:r>
          </a:p>
          <a:p>
            <a:pPr algn="l">
              <a:defRPr sz="1800" b="1">
                <a:latin typeface="Arial"/>
                <a:ea typeface="Arial"/>
                <a:cs typeface="Arial"/>
              </a:defRPr>
            </a:pPr>
            <a:r>
              <a:rPr lang="en-US" sz="1600" b="0"/>
              <a:t>(tonnes per capita)</a:t>
            </a:r>
          </a:p>
        </c:rich>
      </c:tx>
      <c:layout>
        <c:manualLayout>
          <c:xMode val="edge"/>
          <c:yMode val="edge"/>
          <c:x val="5.3333333333333332E-3"/>
          <c:y val="6.4848227064790527E-3"/>
        </c:manualLayout>
      </c:layout>
      <c:overlay val="0"/>
    </c:title>
    <c:autoTitleDeleted val="0"/>
    <c:plotArea>
      <c:layout>
        <c:manualLayout>
          <c:layoutTarget val="inner"/>
          <c:xMode val="edge"/>
          <c:yMode val="edge"/>
          <c:x val="4.1226198708572109E-2"/>
          <c:y val="0.17730508804882802"/>
          <c:w val="0.82447660569434777"/>
          <c:h val="0.65657664829810958"/>
        </c:manualLayout>
      </c:layout>
      <c:barChart>
        <c:barDir val="col"/>
        <c:grouping val="stacked"/>
        <c:varyColors val="0"/>
        <c:ser>
          <c:idx val="0"/>
          <c:order val="0"/>
          <c:tx>
            <c:strRef>
              <c:f>'Fig4'!$G$53</c:f>
              <c:strCache>
                <c:ptCount val="1"/>
                <c:pt idx="0">
                  <c:v>RMC as result of final consumption expenditure</c:v>
                </c:pt>
              </c:strCache>
            </c:strRef>
          </c:tx>
          <c:spPr>
            <a:solidFill>
              <a:srgbClr val="32AFAF">
                <a:lumMod val="100000"/>
              </a:srgbClr>
            </a:solidFill>
            <a:ln>
              <a:noFill/>
              <a:round/>
            </a:ln>
            <a:effectLst/>
            <a:extLst>
              <a:ext uri="{91240B29-F687-4F45-9708-019B960494DF}">
                <a14:hiddenLine xmlns:a14="http://schemas.microsoft.com/office/drawing/2010/main">
                  <a:solidFill>
                    <a:srgbClr val="32AFAF"/>
                  </a:solidFill>
                  <a:round/>
                </a14:hiddenLine>
              </a:ext>
            </a:extLst>
          </c:spPr>
          <c:invertIfNegative val="0"/>
          <c:cat>
            <c:strRef>
              <c:f>'Fig4'!$C$54:$C$58</c:f>
              <c:strCache>
                <c:ptCount val="5"/>
                <c:pt idx="0">
                  <c:v>Biomass</c:v>
                </c:pt>
                <c:pt idx="1">
                  <c:v>Metal ores</c:v>
                </c:pt>
                <c:pt idx="2">
                  <c:v>Non-metallic minerals</c:v>
                </c:pt>
                <c:pt idx="3">
                  <c:v>Fossil energy materials</c:v>
                </c:pt>
                <c:pt idx="4">
                  <c:v>Total</c:v>
                </c:pt>
              </c:strCache>
            </c:strRef>
          </c:cat>
          <c:val>
            <c:numRef>
              <c:f>'Fig4'!$G$54:$G$58</c:f>
              <c:numCache>
                <c:formatCode>#\ ###\ ##0.0</c:formatCode>
                <c:ptCount val="5"/>
                <c:pt idx="0">
                  <c:v>2.5779999999999998</c:v>
                </c:pt>
                <c:pt idx="1">
                  <c:v>0.71799999999999997</c:v>
                </c:pt>
                <c:pt idx="2">
                  <c:v>2.613</c:v>
                </c:pt>
                <c:pt idx="3">
                  <c:v>2.4159999999999999</c:v>
                </c:pt>
                <c:pt idx="4">
                  <c:v>8.3260000000000005</c:v>
                </c:pt>
              </c:numCache>
            </c:numRef>
          </c:val>
          <c:extLst>
            <c:ext xmlns:c16="http://schemas.microsoft.com/office/drawing/2014/chart" uri="{C3380CC4-5D6E-409C-BE32-E72D297353CC}">
              <c16:uniqueId val="{00000000-5252-4BB3-AB51-6C9D37B250DE}"/>
            </c:ext>
          </c:extLst>
        </c:ser>
        <c:ser>
          <c:idx val="1"/>
          <c:order val="1"/>
          <c:tx>
            <c:strRef>
              <c:f>'Fig4'!$H$53</c:f>
              <c:strCache>
                <c:ptCount val="1"/>
                <c:pt idx="0">
                  <c:v>RMC as result of gross capital formation </c:v>
                </c:pt>
              </c:strCache>
            </c:strRef>
          </c:tx>
          <c:spPr>
            <a:solidFill>
              <a:srgbClr val="C84B96">
                <a:lumMod val="100000"/>
              </a:srgbClr>
            </a:solidFill>
            <a:ln>
              <a:noFill/>
              <a:round/>
            </a:ln>
            <a:effectLst/>
            <a:extLst>
              <a:ext uri="{91240B29-F687-4F45-9708-019B960494DF}">
                <a14:hiddenLine xmlns:a14="http://schemas.microsoft.com/office/drawing/2010/main">
                  <a:noFill/>
                  <a:round/>
                </a14:hiddenLine>
              </a:ext>
            </a:extLst>
          </c:spPr>
          <c:invertIfNegative val="0"/>
          <c:cat>
            <c:strRef>
              <c:f>'Fig4'!$C$54:$C$58</c:f>
              <c:strCache>
                <c:ptCount val="5"/>
                <c:pt idx="0">
                  <c:v>Biomass</c:v>
                </c:pt>
                <c:pt idx="1">
                  <c:v>Metal ores</c:v>
                </c:pt>
                <c:pt idx="2">
                  <c:v>Non-metallic minerals</c:v>
                </c:pt>
                <c:pt idx="3">
                  <c:v>Fossil energy materials</c:v>
                </c:pt>
                <c:pt idx="4">
                  <c:v>Total</c:v>
                </c:pt>
              </c:strCache>
            </c:strRef>
          </c:cat>
          <c:val>
            <c:numRef>
              <c:f>'Fig4'!$H$54:$H$58</c:f>
              <c:numCache>
                <c:formatCode>#\ ###\ ##0.0</c:formatCode>
                <c:ptCount val="5"/>
                <c:pt idx="0">
                  <c:v>0.60799999999999998</c:v>
                </c:pt>
                <c:pt idx="1">
                  <c:v>0.63300000000000001</c:v>
                </c:pt>
                <c:pt idx="2">
                  <c:v>4.242</c:v>
                </c:pt>
                <c:pt idx="3">
                  <c:v>0.64900000000000002</c:v>
                </c:pt>
                <c:pt idx="4">
                  <c:v>6.133</c:v>
                </c:pt>
              </c:numCache>
            </c:numRef>
          </c:val>
          <c:extLst>
            <c:ext xmlns:c16="http://schemas.microsoft.com/office/drawing/2014/chart" uri="{C3380CC4-5D6E-409C-BE32-E72D297353CC}">
              <c16:uniqueId val="{00000001-5252-4BB3-AB51-6C9D37B250DE}"/>
            </c:ext>
          </c:extLst>
        </c:ser>
        <c:dLbls>
          <c:showLegendKey val="0"/>
          <c:showVal val="0"/>
          <c:showCatName val="0"/>
          <c:showSerName val="0"/>
          <c:showPercent val="0"/>
          <c:showBubbleSize val="0"/>
        </c:dLbls>
        <c:gapWidth val="75"/>
        <c:overlap val="100"/>
        <c:axId val="168802944"/>
        <c:axId val="168812928"/>
      </c:barChart>
      <c:catAx>
        <c:axId val="168802944"/>
        <c:scaling>
          <c:orientation val="minMax"/>
        </c:scaling>
        <c:delete val="0"/>
        <c:axPos val="b"/>
        <c:numFmt formatCode="General" sourceLinked="1"/>
        <c:majorTickMark val="out"/>
        <c:minorTickMark val="none"/>
        <c:tickLblPos val="nextTo"/>
        <c:spPr>
          <a:ln>
            <a:solidFill>
              <a:srgbClr val="000000"/>
            </a:solidFill>
            <a:prstDash val="solid"/>
          </a:ln>
        </c:spPr>
        <c:crossAx val="168812928"/>
        <c:crosses val="autoZero"/>
        <c:auto val="1"/>
        <c:lblAlgn val="ctr"/>
        <c:lblOffset val="100"/>
        <c:tickMarkSkip val="1"/>
        <c:noMultiLvlLbl val="0"/>
      </c:catAx>
      <c:valAx>
        <c:axId val="168812928"/>
        <c:scaling>
          <c:orientation val="minMax"/>
          <c:max val="16"/>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68802944"/>
        <c:crosses val="autoZero"/>
        <c:crossBetween val="between"/>
      </c:valAx>
      <c:spPr>
        <a:noFill/>
        <a:ln w="25400">
          <a:noFill/>
        </a:ln>
      </c:spPr>
    </c:plotArea>
    <c:legend>
      <c:legendPos val="b"/>
      <c:layout>
        <c:manualLayout>
          <c:xMode val="edge"/>
          <c:yMode val="edge"/>
          <c:x val="7.5275695538057741E-2"/>
          <c:y val="0.8991890907921134"/>
          <c:w val="0.8051643979720321"/>
          <c:h val="4.060222330028652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ln>
      <a:noFill/>
    </a:ln>
  </c:spPr>
  <c:txPr>
    <a:bodyPr/>
    <a:lstStyle/>
    <a:p>
      <a:pPr>
        <a:defRPr sz="1200">
          <a:solidFill>
            <a:srgbClr val="000000"/>
          </a:solidFill>
          <a:latin typeface="Arial"/>
          <a:ea typeface="Arial"/>
          <a:cs typeface="Arial"/>
        </a:defRPr>
      </a:pPr>
      <a:endParaRPr lang="en-US"/>
    </a:p>
  </c:txPr>
  <c:printSettings>
    <c:headerFooter/>
    <c:pageMargins b="0.78740157499999996" l="0.7" r="0.7" t="0.78740157499999996"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2</xdr:row>
      <xdr:rowOff>47626</xdr:rowOff>
    </xdr:from>
    <xdr:to>
      <xdr:col>1</xdr:col>
      <xdr:colOff>47626</xdr:colOff>
      <xdr:row>5</xdr:row>
      <xdr:rowOff>21211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6" y="200026"/>
          <a:ext cx="2638424" cy="386970"/>
        </a:xfrm>
        <a:prstGeom prst="rect">
          <a:avLst/>
        </a:prstGeom>
      </xdr:spPr>
    </xdr:pic>
    <xdr:clientData/>
  </xdr:twoCellAnchor>
  <xdr:twoCellAnchor editAs="oneCell">
    <xdr:from>
      <xdr:col>18</xdr:col>
      <xdr:colOff>380999</xdr:colOff>
      <xdr:row>4</xdr:row>
      <xdr:rowOff>47626</xdr:rowOff>
    </xdr:from>
    <xdr:to>
      <xdr:col>18</xdr:col>
      <xdr:colOff>380999</xdr:colOff>
      <xdr:row>9</xdr:row>
      <xdr:rowOff>19058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49" y="514351"/>
          <a:ext cx="2301645" cy="725812"/>
        </a:xfrm>
        <a:prstGeom prst="rect">
          <a:avLst/>
        </a:prstGeom>
        <a:noFill/>
      </xdr:spPr>
    </xdr:pic>
    <xdr:clientData/>
  </xdr:twoCellAnchor>
  <xdr:twoCellAnchor editAs="oneCell">
    <xdr:from>
      <xdr:col>1</xdr:col>
      <xdr:colOff>47625</xdr:colOff>
      <xdr:row>2</xdr:row>
      <xdr:rowOff>57150</xdr:rowOff>
    </xdr:from>
    <xdr:to>
      <xdr:col>7</xdr:col>
      <xdr:colOff>171449</xdr:colOff>
      <xdr:row>5</xdr:row>
      <xdr:rowOff>30735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09550"/>
          <a:ext cx="2638424" cy="386970"/>
        </a:xfrm>
        <a:prstGeom prst="rect">
          <a:avLst/>
        </a:prstGeom>
      </xdr:spPr>
    </xdr:pic>
    <xdr:clientData/>
  </xdr:twoCellAnchor>
  <xdr:twoCellAnchor editAs="oneCell">
    <xdr:from>
      <xdr:col>18</xdr:col>
      <xdr:colOff>400050</xdr:colOff>
      <xdr:row>4</xdr:row>
      <xdr:rowOff>9525</xdr:rowOff>
    </xdr:from>
    <xdr:to>
      <xdr:col>24</xdr:col>
      <xdr:colOff>187095</xdr:colOff>
      <xdr:row>8</xdr:row>
      <xdr:rowOff>133357</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53300" y="476250"/>
          <a:ext cx="2301645" cy="7258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295276</xdr:colOff>
      <xdr:row>2</xdr:row>
      <xdr:rowOff>85725</xdr:rowOff>
    </xdr:from>
    <xdr:to>
      <xdr:col>10</xdr:col>
      <xdr:colOff>152400</xdr:colOff>
      <xdr:row>45</xdr:row>
      <xdr:rowOff>26553</xdr:rowOff>
    </xdr:to>
    <xdr:graphicFrame macro="">
      <xdr:nvGraphicFramePr>
        <xdr:cNvPr id="4"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0.00533</cdr:x>
      <cdr:y>0.88459</cdr:y>
    </cdr:from>
    <cdr:ext cx="7994650" cy="718703"/>
    <cdr:sp macro="" textlink="">
      <cdr:nvSpPr>
        <cdr:cNvPr id="2" name="FootonotesShape"/>
        <cdr:cNvSpPr txBox="1"/>
      </cdr:nvSpPr>
      <cdr:spPr>
        <a:xfrm xmlns:a="http://schemas.openxmlformats.org/drawingml/2006/main">
          <a:off x="49228" y="5508625"/>
          <a:ext cx="7994650" cy="718703"/>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 Note: the material categories 'other products' and 'waste' from EW-MFA are proportionally assigned to the four main material categories represented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env_ac_rme)</a:t>
          </a:r>
        </a:p>
      </cdr:txBody>
    </cdr:sp>
  </cdr:absSizeAnchor>
  <cdr:relSizeAnchor xmlns:cdr="http://schemas.openxmlformats.org/drawingml/2006/chartDrawing">
    <cdr:from>
      <cdr:x>0.82612</cdr:x>
      <cdr:y>0.93565</cdr:y>
    </cdr:from>
    <cdr:to>
      <cdr:x>1</cdr:x>
      <cdr:y>1</cdr:y>
    </cdr:to>
    <cdr:pic>
      <cdr:nvPicPr>
        <cdr:cNvPr id="4"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270741" y="6076137"/>
          <a:ext cx="1530358" cy="417891"/>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xdr:from>
      <xdr:col>3</xdr:col>
      <xdr:colOff>552450</xdr:colOff>
      <xdr:row>17</xdr:row>
      <xdr:rowOff>66675</xdr:rowOff>
    </xdr:from>
    <xdr:to>
      <xdr:col>4</xdr:col>
      <xdr:colOff>209550</xdr:colOff>
      <xdr:row>19</xdr:row>
      <xdr:rowOff>47625</xdr:rowOff>
    </xdr:to>
    <xdr:sp macro="" textlink="">
      <xdr:nvSpPr>
        <xdr:cNvPr id="1404" name="TextBox 1"/>
        <xdr:cNvSpPr txBox="1">
          <a:spLocks noChangeArrowheads="1"/>
        </xdr:cNvSpPr>
      </xdr:nvSpPr>
      <xdr:spPr bwMode="auto">
        <a:xfrm>
          <a:off x="2867025" y="21621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171450</xdr:colOff>
      <xdr:row>17</xdr:row>
      <xdr:rowOff>66675</xdr:rowOff>
    </xdr:from>
    <xdr:to>
      <xdr:col>8</xdr:col>
      <xdr:colOff>419100</xdr:colOff>
      <xdr:row>19</xdr:row>
      <xdr:rowOff>47625</xdr:rowOff>
    </xdr:to>
    <xdr:sp macro="" textlink="">
      <xdr:nvSpPr>
        <xdr:cNvPr id="1405" name="TextBox 1"/>
        <xdr:cNvSpPr txBox="1">
          <a:spLocks noChangeArrowheads="1"/>
        </xdr:cNvSpPr>
      </xdr:nvSpPr>
      <xdr:spPr bwMode="auto">
        <a:xfrm>
          <a:off x="6457950" y="2162175"/>
          <a:ext cx="2476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552450</xdr:colOff>
      <xdr:row>17</xdr:row>
      <xdr:rowOff>66675</xdr:rowOff>
    </xdr:from>
    <xdr:to>
      <xdr:col>4</xdr:col>
      <xdr:colOff>209550</xdr:colOff>
      <xdr:row>19</xdr:row>
      <xdr:rowOff>47625</xdr:rowOff>
    </xdr:to>
    <xdr:sp macro="" textlink="">
      <xdr:nvSpPr>
        <xdr:cNvPr id="1406" name="TextBox 1"/>
        <xdr:cNvSpPr txBox="1">
          <a:spLocks noChangeArrowheads="1"/>
        </xdr:cNvSpPr>
      </xdr:nvSpPr>
      <xdr:spPr bwMode="auto">
        <a:xfrm>
          <a:off x="2867025" y="21621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171450</xdr:colOff>
      <xdr:row>17</xdr:row>
      <xdr:rowOff>66675</xdr:rowOff>
    </xdr:from>
    <xdr:to>
      <xdr:col>8</xdr:col>
      <xdr:colOff>419100</xdr:colOff>
      <xdr:row>19</xdr:row>
      <xdr:rowOff>47625</xdr:rowOff>
    </xdr:to>
    <xdr:sp macro="" textlink="">
      <xdr:nvSpPr>
        <xdr:cNvPr id="1407" name="TextBox 1"/>
        <xdr:cNvSpPr txBox="1">
          <a:spLocks noChangeArrowheads="1"/>
        </xdr:cNvSpPr>
      </xdr:nvSpPr>
      <xdr:spPr bwMode="auto">
        <a:xfrm>
          <a:off x="6457950" y="2162175"/>
          <a:ext cx="2476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242522</xdr:colOff>
      <xdr:row>3</xdr:row>
      <xdr:rowOff>9527</xdr:rowOff>
    </xdr:from>
    <xdr:to>
      <xdr:col>12</xdr:col>
      <xdr:colOff>660400</xdr:colOff>
      <xdr:row>37</xdr:row>
      <xdr:rowOff>57150</xdr:rowOff>
    </xdr:to>
    <xdr:graphicFrame macro="">
      <xdr:nvGraphicFramePr>
        <xdr:cNvPr id="140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0.68734</cdr:x>
      <cdr:y>0.18936</cdr:y>
    </cdr:from>
    <cdr:to>
      <cdr:x>0.70578</cdr:x>
      <cdr:y>0.8938</cdr:y>
    </cdr:to>
    <cdr:sp macro="" textlink="">
      <cdr:nvSpPr>
        <cdr:cNvPr id="9" name="Right Brace 4"/>
        <cdr:cNvSpPr/>
      </cdr:nvSpPr>
      <cdr:spPr>
        <a:xfrm xmlns:a="http://schemas.openxmlformats.org/drawingml/2006/main">
          <a:off x="7135346" y="949323"/>
          <a:ext cx="191331" cy="3531568"/>
        </a:xfrm>
        <a:prstGeom xmlns:a="http://schemas.openxmlformats.org/drawingml/2006/main" prst="rightBrace">
          <a:avLst/>
        </a:prstGeom>
        <a:noFill xmlns:a="http://schemas.openxmlformats.org/drawingml/2006/main"/>
        <a:ln xmlns:a="http://schemas.openxmlformats.org/drawingml/2006/main" w="3810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0.23656</cdr:x>
      <cdr:y>0.53163</cdr:y>
    </cdr:from>
    <cdr:to>
      <cdr:x>0.31749</cdr:x>
      <cdr:y>0.7111</cdr:y>
    </cdr:to>
    <cdr:sp macro="" textlink="">
      <cdr:nvSpPr>
        <cdr:cNvPr id="10" name="TextBox 9"/>
        <cdr:cNvSpPr txBox="1"/>
      </cdr:nvSpPr>
      <cdr:spPr>
        <a:xfrm xmlns:a="http://schemas.openxmlformats.org/drawingml/2006/main">
          <a:off x="2455701" y="2665237"/>
          <a:ext cx="840136" cy="8997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Direct material input (DMI)</a:t>
          </a:r>
        </a:p>
      </cdr:txBody>
    </cdr:sp>
  </cdr:relSizeAnchor>
  <cdr:relSizeAnchor xmlns:cdr="http://schemas.openxmlformats.org/drawingml/2006/chartDrawing">
    <cdr:from>
      <cdr:x>0.70061</cdr:x>
      <cdr:y>0.46669</cdr:y>
    </cdr:from>
    <cdr:to>
      <cdr:x>0.78285</cdr:x>
      <cdr:y>0.62002</cdr:y>
    </cdr:to>
    <cdr:sp macro="" textlink="">
      <cdr:nvSpPr>
        <cdr:cNvPr id="11" name="TextBox 1"/>
        <cdr:cNvSpPr txBox="1"/>
      </cdr:nvSpPr>
      <cdr:spPr>
        <a:xfrm xmlns:a="http://schemas.openxmlformats.org/drawingml/2006/main">
          <a:off x="7273036" y="2339670"/>
          <a:ext cx="853736" cy="768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Raw material input (</a:t>
          </a:r>
          <a:r>
            <a:rPr lang="en-GB" sz="1200" baseline="0">
              <a:latin typeface="Arial" panose="020B0604020202020204" pitchFamily="34" charset="0"/>
              <a:cs typeface="Arial" panose="020B0604020202020204" pitchFamily="34" charset="0"/>
            </a:rPr>
            <a:t>RMI</a:t>
          </a:r>
          <a:r>
            <a:rPr lang="en-GB" sz="12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0.23185</cdr:x>
      <cdr:y>0.33376</cdr:y>
    </cdr:from>
    <cdr:to>
      <cdr:x>0.23844</cdr:x>
      <cdr:y>0.89253</cdr:y>
    </cdr:to>
    <cdr:sp macro="" textlink="">
      <cdr:nvSpPr>
        <cdr:cNvPr id="6" name="Right Brace 5"/>
        <cdr:cNvSpPr/>
      </cdr:nvSpPr>
      <cdr:spPr>
        <a:xfrm xmlns:a="http://schemas.openxmlformats.org/drawingml/2006/main">
          <a:off x="2406841" y="1673224"/>
          <a:ext cx="68437" cy="2801318"/>
        </a:xfrm>
        <a:prstGeom xmlns:a="http://schemas.openxmlformats.org/drawingml/2006/main" prst="rightBrace">
          <a:avLst/>
        </a:prstGeom>
        <a:noFill xmlns:a="http://schemas.openxmlformats.org/drawingml/2006/main"/>
        <a:ln xmlns:a="http://schemas.openxmlformats.org/drawingml/2006/main" w="3810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absSizeAnchor xmlns:cdr="http://schemas.openxmlformats.org/drawingml/2006/chartDrawing">
    <cdr:from>
      <cdr:x>0.01266</cdr:x>
      <cdr:y>0.94478</cdr:y>
    </cdr:from>
    <cdr:ext cx="7994650" cy="241144"/>
    <cdr:sp macro="" textlink="">
      <cdr:nvSpPr>
        <cdr:cNvPr id="2" name="FootonotesShape"/>
        <cdr:cNvSpPr txBox="1"/>
      </cdr:nvSpPr>
      <cdr:spPr>
        <a:xfrm xmlns:a="http://schemas.openxmlformats.org/drawingml/2006/main">
          <a:off x="115216" y="4940453"/>
          <a:ext cx="7994650" cy="241144"/>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env_ac_rme)</a:t>
          </a:r>
        </a:p>
      </cdr:txBody>
    </cdr:sp>
  </cdr:absSizeAnchor>
  <cdr:relSizeAnchor xmlns:cdr="http://schemas.openxmlformats.org/drawingml/2006/chartDrawing">
    <cdr:from>
      <cdr:x>0.58099</cdr:x>
      <cdr:y>0.61495</cdr:y>
    </cdr:from>
    <cdr:to>
      <cdr:x>0.66173</cdr:x>
      <cdr:y>0.72388</cdr:y>
    </cdr:to>
    <cdr:sp macro="" textlink="">
      <cdr:nvSpPr>
        <cdr:cNvPr id="20" name="TextBox 19"/>
        <cdr:cNvSpPr txBox="1"/>
      </cdr:nvSpPr>
      <cdr:spPr>
        <a:xfrm xmlns:a="http://schemas.openxmlformats.org/drawingml/2006/main">
          <a:off x="6031278" y="3082923"/>
          <a:ext cx="838200" cy="546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0.58466</cdr:x>
      <cdr:y>0.58201</cdr:y>
    </cdr:from>
    <cdr:to>
      <cdr:x>0.67703</cdr:x>
      <cdr:y>0.79607</cdr:y>
    </cdr:to>
    <cdr:sp macro="" textlink="">
      <cdr:nvSpPr>
        <cdr:cNvPr id="21" name="TextBox 20"/>
        <cdr:cNvSpPr txBox="1"/>
      </cdr:nvSpPr>
      <cdr:spPr>
        <a:xfrm xmlns:a="http://schemas.openxmlformats.org/drawingml/2006/main">
          <a:off x="6069378" y="2917823"/>
          <a:ext cx="958850" cy="1073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200" b="0" i="0" baseline="0">
              <a:effectLst/>
              <a:latin typeface="Arial" panose="020B0604020202020204" pitchFamily="34" charset="0"/>
              <a:ea typeface="+mn-ea"/>
              <a:cs typeface="Arial" panose="020B0604020202020204" pitchFamily="34" charset="0"/>
            </a:rPr>
            <a:t>Domestic extraction; 11.9</a:t>
          </a:r>
          <a:endParaRPr lang="en-GB" sz="1200">
            <a:effectLst/>
            <a:latin typeface="Arial" panose="020B0604020202020204" pitchFamily="34" charset="0"/>
            <a:cs typeface="Arial" panose="020B0604020202020204" pitchFamily="34" charset="0"/>
          </a:endParaRPr>
        </a:p>
        <a:p xmlns:a="http://schemas.openxmlformats.org/drawingml/2006/main">
          <a:endParaRPr lang="en-GB" sz="1100"/>
        </a:p>
      </cdr:txBody>
    </cdr:sp>
  </cdr:relSizeAnchor>
  <cdr:relSizeAnchor xmlns:cdr="http://schemas.openxmlformats.org/drawingml/2006/chartDrawing">
    <cdr:from>
      <cdr:x>0.84774</cdr:x>
      <cdr:y>0.91664</cdr:y>
    </cdr:from>
    <cdr:to>
      <cdr:x>1</cdr:x>
      <cdr:y>1</cdr:y>
    </cdr:to>
    <cdr:pic>
      <cdr:nvPicPr>
        <cdr:cNvPr id="12"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800398" y="4595430"/>
          <a:ext cx="1580630" cy="417893"/>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xdr:from>
      <xdr:col>2</xdr:col>
      <xdr:colOff>19049</xdr:colOff>
      <xdr:row>3</xdr:row>
      <xdr:rowOff>0</xdr:rowOff>
    </xdr:from>
    <xdr:to>
      <xdr:col>17</xdr:col>
      <xdr:colOff>273050</xdr:colOff>
      <xdr:row>41</xdr:row>
      <xdr:rowOff>76200</xdr:rowOff>
    </xdr:to>
    <xdr:graphicFrame macro="">
      <xdr:nvGraphicFramePr>
        <xdr:cNvPr id="35903"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0.00533</cdr:x>
      <cdr:y>0.95159</cdr:y>
    </cdr:from>
    <cdr:ext cx="7994650" cy="269369"/>
    <cdr:sp macro="" textlink="">
      <cdr:nvSpPr>
        <cdr:cNvPr id="2" name="FootonotesShape"/>
        <cdr:cNvSpPr txBox="1"/>
      </cdr:nvSpPr>
      <cdr:spPr>
        <a:xfrm xmlns:a="http://schemas.openxmlformats.org/drawingml/2006/main">
          <a:off x="52257" y="5304538"/>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env_ac_rme)</a:t>
          </a:r>
        </a:p>
      </cdr:txBody>
    </cdr:sp>
  </cdr:absSizeAnchor>
  <cdr:relSizeAnchor xmlns:cdr="http://schemas.openxmlformats.org/drawingml/2006/chartDrawing">
    <cdr:from>
      <cdr:x>0.83878</cdr:x>
      <cdr:y>0.92489</cdr:y>
    </cdr:from>
    <cdr:to>
      <cdr:x>1</cdr:x>
      <cdr:y>1</cdr:y>
    </cdr:to>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223771" y="5146210"/>
          <a:ext cx="1580630" cy="417893"/>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twoCellAnchor>
    <xdr:from>
      <xdr:col>2</xdr:col>
      <xdr:colOff>9523</xdr:colOff>
      <xdr:row>2</xdr:row>
      <xdr:rowOff>76200</xdr:rowOff>
    </xdr:from>
    <xdr:to>
      <xdr:col>13</xdr:col>
      <xdr:colOff>190500</xdr:colOff>
      <xdr:row>42</xdr:row>
      <xdr:rowOff>9525</xdr:rowOff>
    </xdr:to>
    <xdr:graphicFrame macro="">
      <xdr:nvGraphicFramePr>
        <xdr:cNvPr id="4"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0.00912</cdr:x>
      <cdr:y>0.95192</cdr:y>
    </cdr:from>
    <cdr:ext cx="7994650" cy="261331"/>
    <cdr:sp macro="" textlink="">
      <cdr:nvSpPr>
        <cdr:cNvPr id="2" name="FootonotesShape"/>
        <cdr:cNvSpPr txBox="1"/>
      </cdr:nvSpPr>
      <cdr:spPr>
        <a:xfrm xmlns:a="http://schemas.openxmlformats.org/drawingml/2006/main">
          <a:off x="94657" y="5739418"/>
          <a:ext cx="7994650" cy="26133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env_ac_rmefd)</a:t>
          </a:r>
        </a:p>
      </cdr:txBody>
    </cdr:sp>
  </cdr:absSizeAnchor>
  <cdr:relSizeAnchor xmlns:cdr="http://schemas.openxmlformats.org/drawingml/2006/chartDrawing">
    <cdr:from>
      <cdr:x>0.84771</cdr:x>
      <cdr:y>0.93069</cdr:y>
    </cdr:from>
    <cdr:to>
      <cdr:x>1</cdr:x>
      <cdr:y>1</cdr:y>
    </cdr:to>
    <cdr:pic>
      <cdr:nvPicPr>
        <cdr:cNvPr id="4"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518519" y="5611409"/>
          <a:ext cx="1530358" cy="417916"/>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eurostat/web/european-statistical-system/reuse-ess-statistics" TargetMode="External"/><Relationship Id="rId2" Type="http://schemas.openxmlformats.org/officeDocument/2006/relationships/hyperlink" Target="https://ec.europa.eu/eurostat/about/policies/copyright" TargetMode="External"/><Relationship Id="rId1" Type="http://schemas.openxmlformats.org/officeDocument/2006/relationships/hyperlink" Target="https://ec.europa.eu/eurostat/statistics-explained/index.php?title=Material_flow_accounts_statistics_-_material_footprint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59999389629810485"/>
  </sheetPr>
  <dimension ref="A1:Z44"/>
  <sheetViews>
    <sheetView showGridLines="0" tabSelected="1" topLeftCell="A2" workbookViewId="0">
      <selection activeCell="E29" sqref="E29:Y29"/>
    </sheetView>
  </sheetViews>
  <sheetFormatPr defaultColWidth="0" defaultRowHeight="0" customHeight="1" zeroHeight="1"/>
  <cols>
    <col min="1" max="1" width="2" style="3" customWidth="1"/>
    <col min="2" max="25" width="6.26953125" style="3" customWidth="1"/>
    <col min="26" max="26" width="2.26953125" style="33" customWidth="1"/>
    <col min="27" max="16384" width="9.1796875" style="3" hidden="1"/>
  </cols>
  <sheetData>
    <row r="1" spans="1:26" ht="16" hidden="1" customHeight="1" thickBot="1">
      <c r="A1" s="277"/>
      <c r="B1" s="278" t="s">
        <v>330</v>
      </c>
      <c r="C1" s="279">
        <v>2019</v>
      </c>
      <c r="D1" s="278"/>
      <c r="E1" s="278"/>
      <c r="F1" s="278"/>
      <c r="G1" s="278"/>
      <c r="H1" s="278"/>
      <c r="I1" s="278"/>
      <c r="J1" s="278"/>
      <c r="K1" s="278"/>
      <c r="L1" s="278"/>
      <c r="M1" s="278"/>
      <c r="N1" s="278"/>
      <c r="O1" s="278"/>
      <c r="P1" s="278"/>
      <c r="Q1" s="278"/>
      <c r="R1" s="278"/>
      <c r="S1" s="278"/>
      <c r="T1" s="278"/>
      <c r="U1" s="278"/>
      <c r="V1" s="278"/>
      <c r="W1" s="278"/>
      <c r="X1" s="278"/>
      <c r="Y1" s="278"/>
      <c r="Z1" s="278"/>
    </row>
    <row r="2" spans="1:26" ht="12" customHeight="1">
      <c r="A2" s="25"/>
      <c r="B2" s="25"/>
      <c r="C2" s="25"/>
      <c r="D2" s="25"/>
      <c r="E2" s="25"/>
      <c r="F2" s="25"/>
      <c r="G2" s="25"/>
      <c r="H2" s="25"/>
      <c r="I2" s="25"/>
      <c r="J2" s="25"/>
      <c r="K2" s="25"/>
      <c r="L2" s="25"/>
      <c r="M2" s="25"/>
      <c r="N2" s="25"/>
      <c r="O2" s="25"/>
      <c r="P2" s="25"/>
      <c r="Q2" s="25"/>
      <c r="R2" s="25"/>
      <c r="S2" s="25"/>
      <c r="T2" s="25"/>
      <c r="U2" s="25"/>
      <c r="V2" s="25"/>
      <c r="W2" s="25"/>
      <c r="X2" s="25"/>
      <c r="Y2" s="25"/>
      <c r="Z2" s="25"/>
    </row>
    <row r="3" spans="1:26" ht="10" customHeight="1">
      <c r="A3" s="25"/>
      <c r="B3" s="26"/>
      <c r="C3" s="27"/>
      <c r="D3" s="27"/>
      <c r="E3" s="27"/>
      <c r="F3" s="27"/>
      <c r="G3" s="27"/>
      <c r="H3" s="27"/>
      <c r="I3" s="27"/>
      <c r="J3" s="27"/>
      <c r="K3" s="27"/>
      <c r="L3" s="27"/>
      <c r="M3" s="27"/>
      <c r="N3" s="27"/>
      <c r="O3" s="27"/>
      <c r="P3" s="27"/>
      <c r="Q3" s="27"/>
      <c r="R3" s="27"/>
      <c r="S3" s="27"/>
      <c r="T3" s="27"/>
      <c r="U3" s="27"/>
      <c r="V3" s="27"/>
      <c r="W3" s="27"/>
      <c r="X3" s="27"/>
      <c r="Y3" s="27"/>
      <c r="Z3" s="25"/>
    </row>
    <row r="4" spans="1:26" ht="11.5">
      <c r="A4" s="25"/>
      <c r="B4" s="27"/>
      <c r="C4" s="27"/>
      <c r="D4" s="27"/>
      <c r="E4" s="27"/>
      <c r="F4" s="27"/>
      <c r="G4" s="27"/>
      <c r="H4" s="27"/>
      <c r="I4" s="27"/>
      <c r="J4" s="27"/>
      <c r="K4" s="27"/>
      <c r="L4" s="27"/>
      <c r="M4" s="27"/>
      <c r="N4" s="27"/>
      <c r="O4" s="27"/>
      <c r="P4" s="27"/>
      <c r="Q4" s="27"/>
      <c r="R4" s="27"/>
      <c r="S4" s="27"/>
      <c r="T4" s="27"/>
      <c r="U4" s="27"/>
      <c r="V4" s="27"/>
      <c r="W4" s="27"/>
      <c r="X4" s="27"/>
      <c r="Y4" s="27"/>
      <c r="Z4" s="25"/>
    </row>
    <row r="5" spans="1:26" ht="11.5">
      <c r="A5" s="25"/>
      <c r="B5" s="27"/>
      <c r="C5" s="27"/>
      <c r="D5" s="27"/>
      <c r="E5" s="27"/>
      <c r="F5" s="27"/>
      <c r="G5" s="27"/>
      <c r="H5" s="27"/>
      <c r="I5" s="27"/>
      <c r="J5" s="27"/>
      <c r="K5" s="27"/>
      <c r="L5" s="27"/>
      <c r="M5" s="27"/>
      <c r="N5" s="27"/>
      <c r="O5" s="27"/>
      <c r="P5" s="27"/>
      <c r="Q5" s="27"/>
      <c r="R5" s="27"/>
      <c r="S5" s="27"/>
      <c r="T5" s="27"/>
      <c r="U5" s="27"/>
      <c r="V5" s="27"/>
      <c r="W5" s="27"/>
      <c r="X5" s="27"/>
      <c r="Y5" s="27"/>
      <c r="Z5" s="25"/>
    </row>
    <row r="6" spans="1:26" ht="11.5">
      <c r="A6" s="25"/>
      <c r="B6" s="28" t="s">
        <v>55</v>
      </c>
      <c r="C6" s="29"/>
      <c r="D6" s="27"/>
      <c r="E6" s="27"/>
      <c r="F6" s="27"/>
      <c r="G6" s="27"/>
      <c r="H6" s="27"/>
      <c r="I6" s="27"/>
      <c r="J6" s="27"/>
      <c r="K6" s="27"/>
      <c r="L6" s="27"/>
      <c r="M6" s="27"/>
      <c r="N6" s="27"/>
      <c r="O6" s="27"/>
      <c r="P6" s="27"/>
      <c r="Q6" s="27"/>
      <c r="R6" s="27"/>
      <c r="S6" s="27"/>
      <c r="T6" s="27"/>
      <c r="U6" s="27"/>
      <c r="V6" s="27"/>
      <c r="W6" s="27"/>
      <c r="X6" s="27"/>
      <c r="Y6" s="27"/>
      <c r="Z6" s="25"/>
    </row>
    <row r="7" spans="1:26" ht="11.5">
      <c r="A7" s="25"/>
      <c r="B7" s="30" t="s">
        <v>56</v>
      </c>
      <c r="C7" s="27"/>
      <c r="D7" s="27"/>
      <c r="E7" s="27"/>
      <c r="F7" s="27"/>
      <c r="G7" s="27"/>
      <c r="H7" s="27"/>
      <c r="I7" s="27"/>
      <c r="J7" s="27"/>
      <c r="K7" s="27"/>
      <c r="L7" s="27"/>
      <c r="M7" s="27"/>
      <c r="N7" s="27"/>
      <c r="O7" s="27"/>
      <c r="P7" s="27"/>
      <c r="Q7" s="27"/>
      <c r="R7" s="27"/>
      <c r="S7" s="27"/>
      <c r="T7" s="27"/>
      <c r="U7" s="27"/>
      <c r="V7" s="27"/>
      <c r="W7" s="27"/>
      <c r="X7" s="27"/>
      <c r="Y7" s="27"/>
      <c r="Z7" s="25"/>
    </row>
    <row r="8" spans="1:26" ht="11.5">
      <c r="A8" s="25"/>
      <c r="B8" s="30" t="s">
        <v>57</v>
      </c>
      <c r="C8" s="27"/>
      <c r="D8" s="27"/>
      <c r="E8" s="27"/>
      <c r="F8" s="27"/>
      <c r="G8" s="27"/>
      <c r="H8" s="27"/>
      <c r="I8" s="27"/>
      <c r="J8" s="27"/>
      <c r="K8" s="27"/>
      <c r="L8" s="27"/>
      <c r="M8" s="27"/>
      <c r="N8" s="27"/>
      <c r="O8" s="27"/>
      <c r="P8" s="27"/>
      <c r="Q8" s="27"/>
      <c r="R8" s="27"/>
      <c r="S8" s="27"/>
      <c r="T8" s="27"/>
      <c r="U8" s="27"/>
      <c r="V8" s="27"/>
      <c r="W8" s="27"/>
      <c r="X8" s="27"/>
      <c r="Y8" s="27"/>
      <c r="Z8" s="25"/>
    </row>
    <row r="9" spans="1:26" ht="11.5">
      <c r="A9" s="25"/>
      <c r="B9" s="30" t="s">
        <v>58</v>
      </c>
      <c r="C9" s="27"/>
      <c r="D9" s="27"/>
      <c r="E9" s="27"/>
      <c r="F9" s="27"/>
      <c r="G9" s="27"/>
      <c r="H9" s="27"/>
      <c r="I9" s="27"/>
      <c r="J9" s="27"/>
      <c r="K9" s="27"/>
      <c r="L9" s="27"/>
      <c r="M9" s="27"/>
      <c r="N9" s="27"/>
      <c r="O9" s="27"/>
      <c r="P9" s="27"/>
      <c r="Q9" s="27"/>
      <c r="R9" s="27"/>
      <c r="S9" s="27"/>
      <c r="T9" s="27"/>
      <c r="U9" s="27"/>
      <c r="V9" s="27"/>
      <c r="W9" s="27"/>
      <c r="X9" s="27"/>
      <c r="Y9" s="27"/>
      <c r="Z9" s="31"/>
    </row>
    <row r="10" spans="1:26" ht="10" customHeight="1">
      <c r="A10" s="25"/>
      <c r="B10" s="30"/>
      <c r="C10" s="27"/>
      <c r="D10" s="27"/>
      <c r="E10" s="32"/>
      <c r="F10" s="27"/>
      <c r="G10" s="27"/>
      <c r="H10" s="27"/>
      <c r="I10" s="27"/>
      <c r="J10" s="27"/>
      <c r="K10" s="27"/>
      <c r="L10" s="27"/>
      <c r="M10" s="27"/>
      <c r="N10" s="27"/>
      <c r="O10" s="27"/>
      <c r="P10" s="27"/>
      <c r="Q10" s="27"/>
      <c r="R10" s="27"/>
      <c r="S10" s="27"/>
      <c r="T10" s="27"/>
      <c r="U10" s="27"/>
      <c r="V10" s="27"/>
      <c r="W10" s="27"/>
      <c r="X10" s="27"/>
      <c r="Y10" s="27"/>
      <c r="Z10" s="31"/>
    </row>
    <row r="11" spans="1:26" ht="6" customHeight="1">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ht="10" customHeight="1">
      <c r="A12" s="25"/>
      <c r="B12" s="33"/>
      <c r="C12" s="33"/>
      <c r="D12" s="33"/>
      <c r="E12" s="33"/>
      <c r="F12" s="33"/>
      <c r="G12" s="33"/>
      <c r="H12" s="33"/>
      <c r="I12" s="33"/>
      <c r="J12" s="33"/>
      <c r="K12" s="33"/>
      <c r="L12" s="33"/>
      <c r="M12" s="33"/>
      <c r="N12" s="33"/>
      <c r="O12" s="33"/>
      <c r="P12" s="33"/>
      <c r="Q12" s="33"/>
      <c r="R12" s="33"/>
      <c r="S12" s="33"/>
      <c r="T12" s="33"/>
      <c r="U12" s="33"/>
      <c r="V12" s="33"/>
      <c r="W12" s="33"/>
      <c r="X12" s="33"/>
      <c r="Y12" s="33"/>
      <c r="Z12" s="25"/>
    </row>
    <row r="13" spans="1:26" ht="11.5">
      <c r="A13" s="25"/>
      <c r="B13" s="34" t="s">
        <v>59</v>
      </c>
      <c r="E13" s="35" t="s">
        <v>283</v>
      </c>
      <c r="Z13" s="25"/>
    </row>
    <row r="14" spans="1:26" ht="11.5">
      <c r="A14" s="25"/>
      <c r="Z14" s="25"/>
    </row>
    <row r="15" spans="1:26" ht="15" customHeight="1">
      <c r="A15" s="25"/>
      <c r="B15" s="34" t="s">
        <v>60</v>
      </c>
      <c r="E15" s="282" t="s">
        <v>284</v>
      </c>
      <c r="F15" s="282"/>
      <c r="G15" s="282"/>
      <c r="H15" s="282"/>
      <c r="I15" s="282"/>
      <c r="J15" s="282"/>
      <c r="K15" s="282"/>
      <c r="L15" s="282"/>
      <c r="M15" s="282"/>
      <c r="N15" s="282"/>
      <c r="O15" s="282"/>
      <c r="P15" s="282"/>
      <c r="Q15" s="282"/>
      <c r="R15" s="282"/>
      <c r="S15" s="282"/>
      <c r="T15" s="282"/>
      <c r="U15" s="282"/>
      <c r="V15" s="282"/>
      <c r="W15" s="282"/>
      <c r="X15" s="282"/>
      <c r="Y15" s="282"/>
      <c r="Z15" s="25"/>
    </row>
    <row r="16" spans="1:26" ht="11.5">
      <c r="A16" s="25"/>
      <c r="E16" s="282"/>
      <c r="F16" s="282"/>
      <c r="G16" s="282"/>
      <c r="H16" s="282"/>
      <c r="I16" s="282"/>
      <c r="J16" s="282"/>
      <c r="K16" s="282"/>
      <c r="L16" s="282"/>
      <c r="M16" s="282"/>
      <c r="N16" s="282"/>
      <c r="O16" s="282"/>
      <c r="P16" s="282"/>
      <c r="Q16" s="282"/>
      <c r="R16" s="282"/>
      <c r="S16" s="282"/>
      <c r="T16" s="282"/>
      <c r="U16" s="282"/>
      <c r="V16" s="282"/>
      <c r="W16" s="282"/>
      <c r="X16" s="282"/>
      <c r="Y16" s="282"/>
      <c r="Z16" s="25"/>
    </row>
    <row r="17" spans="1:26" ht="11.5">
      <c r="A17" s="25"/>
      <c r="Z17" s="25"/>
    </row>
    <row r="18" spans="1:26" ht="11.5">
      <c r="A18" s="25"/>
      <c r="B18" s="34" t="s">
        <v>61</v>
      </c>
      <c r="E18" s="36" t="s">
        <v>329</v>
      </c>
      <c r="Z18" s="25"/>
    </row>
    <row r="19" spans="1:26" ht="12">
      <c r="A19" s="25"/>
      <c r="D19" s="37"/>
      <c r="Z19" s="25"/>
    </row>
    <row r="20" spans="1:26" ht="11.5">
      <c r="A20" s="25"/>
      <c r="B20" s="34" t="s">
        <v>62</v>
      </c>
      <c r="E20" s="38" t="s">
        <v>285</v>
      </c>
      <c r="G20" s="39"/>
      <c r="Z20" s="25"/>
    </row>
    <row r="21" spans="1:26" ht="10" customHeight="1">
      <c r="A21" s="25"/>
      <c r="Z21" s="25"/>
    </row>
    <row r="22" spans="1:26" ht="6" customHeight="1">
      <c r="A22" s="25"/>
      <c r="B22" s="40"/>
      <c r="C22" s="41"/>
      <c r="D22" s="25"/>
      <c r="E22" s="42"/>
      <c r="F22" s="42"/>
      <c r="G22" s="42"/>
      <c r="H22" s="42"/>
      <c r="I22" s="42"/>
      <c r="J22" s="42"/>
      <c r="K22" s="42"/>
      <c r="L22" s="42"/>
      <c r="M22" s="42"/>
      <c r="N22" s="42"/>
      <c r="O22" s="42"/>
      <c r="P22" s="42"/>
      <c r="Q22" s="42"/>
      <c r="R22" s="42"/>
      <c r="S22" s="42"/>
      <c r="T22" s="42"/>
      <c r="U22" s="42"/>
      <c r="V22" s="42"/>
      <c r="W22" s="42"/>
      <c r="X22" s="42"/>
      <c r="Y22" s="42"/>
      <c r="Z22" s="25"/>
    </row>
    <row r="23" spans="1:26" ht="10" customHeight="1">
      <c r="A23" s="25"/>
      <c r="B23" s="43"/>
      <c r="C23" s="44"/>
      <c r="D23" s="33"/>
      <c r="E23" s="45"/>
      <c r="F23" s="45"/>
      <c r="G23" s="45"/>
      <c r="H23" s="45"/>
      <c r="I23" s="45"/>
      <c r="J23" s="45"/>
      <c r="K23" s="45"/>
      <c r="L23" s="45"/>
      <c r="M23" s="45"/>
      <c r="N23" s="45"/>
      <c r="O23" s="45"/>
      <c r="P23" s="45"/>
      <c r="Q23" s="45"/>
      <c r="R23" s="45"/>
      <c r="S23" s="45"/>
      <c r="T23" s="45"/>
      <c r="U23" s="45"/>
      <c r="V23" s="45"/>
      <c r="W23" s="45"/>
      <c r="X23" s="45"/>
      <c r="Y23" s="45"/>
      <c r="Z23" s="25"/>
    </row>
    <row r="24" spans="1:26" ht="36" customHeight="1">
      <c r="A24" s="25"/>
      <c r="B24" s="46" t="s">
        <v>63</v>
      </c>
      <c r="E24" s="282" t="s">
        <v>64</v>
      </c>
      <c r="F24" s="282"/>
      <c r="G24" s="282"/>
      <c r="H24" s="282"/>
      <c r="I24" s="282"/>
      <c r="J24" s="282"/>
      <c r="K24" s="282"/>
      <c r="L24" s="282"/>
      <c r="M24" s="282"/>
      <c r="N24" s="282"/>
      <c r="O24" s="282"/>
      <c r="P24" s="282"/>
      <c r="Q24" s="282"/>
      <c r="R24" s="282"/>
      <c r="S24" s="282"/>
      <c r="T24" s="282"/>
      <c r="U24" s="282"/>
      <c r="V24" s="282"/>
      <c r="W24" s="282"/>
      <c r="X24" s="282"/>
      <c r="Y24" s="282"/>
      <c r="Z24" s="25"/>
    </row>
    <row r="25" spans="1:26" ht="13" customHeight="1">
      <c r="A25" s="25"/>
      <c r="E25" s="283" t="s">
        <v>292</v>
      </c>
      <c r="F25" s="283"/>
      <c r="G25" s="283"/>
      <c r="H25" s="283"/>
      <c r="I25" s="283"/>
      <c r="J25" s="283"/>
      <c r="K25" s="283"/>
      <c r="L25" s="283"/>
      <c r="M25" s="283"/>
      <c r="N25" s="283"/>
      <c r="O25" s="283"/>
      <c r="P25" s="283"/>
      <c r="Q25" s="283"/>
      <c r="R25" s="283"/>
      <c r="S25" s="283"/>
      <c r="T25" s="283"/>
      <c r="U25" s="283"/>
      <c r="V25" s="283"/>
      <c r="W25" s="283"/>
      <c r="X25" s="283"/>
      <c r="Y25" s="283"/>
      <c r="Z25" s="25"/>
    </row>
    <row r="26" spans="1:26" ht="13" customHeight="1">
      <c r="A26" s="25"/>
      <c r="E26" s="3" t="s">
        <v>293</v>
      </c>
      <c r="Z26" s="25"/>
    </row>
    <row r="27" spans="1:26" ht="13" customHeight="1">
      <c r="A27" s="25"/>
      <c r="E27" s="3" t="s">
        <v>65</v>
      </c>
      <c r="N27" s="254" t="s">
        <v>294</v>
      </c>
      <c r="Z27" s="25"/>
    </row>
    <row r="28" spans="1:26" ht="13" customHeight="1">
      <c r="A28" s="25"/>
      <c r="E28" s="3" t="s">
        <v>295</v>
      </c>
      <c r="K28" s="47"/>
      <c r="O28" s="224" t="s">
        <v>296</v>
      </c>
      <c r="Z28" s="25"/>
    </row>
    <row r="29" spans="1:26" ht="49.5" customHeight="1">
      <c r="A29" s="25"/>
      <c r="B29" s="46" t="s">
        <v>66</v>
      </c>
      <c r="E29" s="282" t="s">
        <v>67</v>
      </c>
      <c r="F29" s="282"/>
      <c r="G29" s="282"/>
      <c r="H29" s="282"/>
      <c r="I29" s="282"/>
      <c r="J29" s="282"/>
      <c r="K29" s="282"/>
      <c r="L29" s="282"/>
      <c r="M29" s="282"/>
      <c r="N29" s="282"/>
      <c r="O29" s="282"/>
      <c r="P29" s="282"/>
      <c r="Q29" s="282"/>
      <c r="R29" s="282"/>
      <c r="S29" s="282"/>
      <c r="T29" s="282"/>
      <c r="U29" s="282"/>
      <c r="V29" s="282"/>
      <c r="W29" s="282"/>
      <c r="X29" s="282"/>
      <c r="Y29" s="282"/>
      <c r="Z29" s="25"/>
    </row>
    <row r="30" spans="1:26" ht="10" customHeight="1">
      <c r="A30" s="25"/>
      <c r="B30" s="48"/>
      <c r="E30" s="49"/>
      <c r="Z30" s="25"/>
    </row>
    <row r="31" spans="1:26" ht="12"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1.5" hidden="1"/>
    <row r="33" spans="26:26" ht="11.5" hidden="1">
      <c r="Z33" s="3"/>
    </row>
    <row r="34" spans="26:26" ht="11.5" hidden="1">
      <c r="Z34" s="3"/>
    </row>
    <row r="35" spans="26:26" ht="11.5" hidden="1">
      <c r="Z35" s="3"/>
    </row>
    <row r="36" spans="26:26" ht="11.5" hidden="1">
      <c r="Z36" s="3"/>
    </row>
    <row r="37" spans="26:26" ht="15" hidden="1" customHeight="1">
      <c r="Z37" s="3"/>
    </row>
    <row r="38" spans="26:26" ht="15" hidden="1" customHeight="1">
      <c r="Z38" s="3"/>
    </row>
    <row r="39" spans="26:26" ht="15" hidden="1" customHeight="1">
      <c r="Z39" s="3"/>
    </row>
    <row r="40" spans="26:26" ht="15" hidden="1" customHeight="1">
      <c r="Z40" s="3"/>
    </row>
    <row r="41" spans="26:26" ht="15" hidden="1" customHeight="1">
      <c r="Z41" s="3"/>
    </row>
    <row r="42" spans="26:26" ht="15" hidden="1" customHeight="1">
      <c r="Z42" s="3"/>
    </row>
    <row r="43" spans="26:26" ht="11.5" hidden="1"/>
    <row r="44" spans="26:26" ht="11.5" hidden="1"/>
  </sheetData>
  <mergeCells count="4">
    <mergeCell ref="E15:Y16"/>
    <mergeCell ref="E24:Y24"/>
    <mergeCell ref="E25:Y25"/>
    <mergeCell ref="E29:Y29"/>
  </mergeCells>
  <hyperlinks>
    <hyperlink ref="E20" r:id="rId1"/>
    <hyperlink ref="N27" r:id="rId2"/>
    <hyperlink ref="O28"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pageSetUpPr fitToPage="1"/>
  </sheetPr>
  <dimension ref="A1:T81"/>
  <sheetViews>
    <sheetView showGridLines="0" zoomScaleNormal="100" workbookViewId="0"/>
  </sheetViews>
  <sheetFormatPr defaultColWidth="9.1796875" defaultRowHeight="11.5"/>
  <cols>
    <col min="1" max="2" width="4.7265625" style="3" customWidth="1"/>
    <col min="3" max="3" width="29.7265625" style="3" customWidth="1"/>
    <col min="4" max="7" width="14.7265625" style="3" customWidth="1"/>
    <col min="8" max="8" width="11.453125" style="3" customWidth="1"/>
    <col min="9" max="10" width="14.7265625" style="3" customWidth="1"/>
    <col min="11" max="12" width="10.81640625" style="3" customWidth="1"/>
    <col min="13" max="13" width="9.1796875" style="3"/>
    <col min="14" max="14" width="3.90625" style="3" customWidth="1"/>
    <col min="15" max="16384" width="9.1796875" style="3"/>
  </cols>
  <sheetData>
    <row r="1" spans="1:1" ht="15.5">
      <c r="A1" s="222" t="str">
        <f>"Comparison of the actual weight of traded goods with trade in raw material equivalents (RME), EU-27, "&amp;Cover!C1</f>
        <v>Comparison of the actual weight of traded goods with trade in raw material equivalents (RME), EU-27, 2019</v>
      </c>
    </row>
    <row r="35" spans="11:12" ht="12">
      <c r="K35" s="284"/>
      <c r="L35" s="284"/>
    </row>
    <row r="49" spans="3:20">
      <c r="C49" s="35"/>
    </row>
    <row r="50" spans="3:20">
      <c r="C50" s="3" t="s">
        <v>327</v>
      </c>
    </row>
    <row r="51" spans="3:20" ht="12">
      <c r="C51" s="212" t="s">
        <v>308</v>
      </c>
    </row>
    <row r="55" spans="3:20">
      <c r="O55" s="12"/>
      <c r="P55" s="12"/>
      <c r="Q55" s="12"/>
      <c r="R55" s="12"/>
      <c r="S55" s="12"/>
      <c r="T55" s="12"/>
    </row>
    <row r="56" spans="3:20">
      <c r="C56" s="50" t="str">
        <f>"Comparison of physical imports, exports and physical trade balance including direct flows only and including RME, EU-27, "&amp;Cover!$C$1</f>
        <v>Comparison of physical imports, exports and physical trade balance including direct flows only and including RME, EU-27, 2019</v>
      </c>
      <c r="O56" s="12"/>
      <c r="P56" s="12"/>
      <c r="Q56" s="12"/>
      <c r="R56" s="12"/>
      <c r="S56" s="12"/>
      <c r="T56" s="12"/>
    </row>
    <row r="57" spans="3:20">
      <c r="C57" s="7" t="s">
        <v>41</v>
      </c>
      <c r="O57" s="285" t="s">
        <v>313</v>
      </c>
      <c r="P57" s="285"/>
      <c r="Q57" s="12"/>
      <c r="R57" s="12"/>
      <c r="S57" s="12"/>
      <c r="T57" s="12"/>
    </row>
    <row r="58" spans="3:20" ht="23">
      <c r="C58" s="89"/>
      <c r="D58" s="145" t="s">
        <v>265</v>
      </c>
      <c r="E58" s="146" t="s">
        <v>73</v>
      </c>
      <c r="F58" s="146" t="s">
        <v>266</v>
      </c>
      <c r="G58" s="146" t="s">
        <v>75</v>
      </c>
      <c r="I58" s="146" t="s">
        <v>74</v>
      </c>
      <c r="J58" s="146" t="s">
        <v>45</v>
      </c>
      <c r="L58" s="204"/>
      <c r="M58" s="204"/>
      <c r="N58" s="204"/>
      <c r="O58" s="146" t="s">
        <v>287</v>
      </c>
      <c r="P58" s="146" t="s">
        <v>4</v>
      </c>
    </row>
    <row r="59" spans="3:20" ht="12.5">
      <c r="C59" s="52" t="s">
        <v>31</v>
      </c>
      <c r="D59" s="53">
        <f>INDEX('EW-MFA data'!$G$137:$AA$167,8,MATCH(Cover!$C$1,'EW-MFA data'!$G$137:$AA$137,0))</f>
        <v>0.4956402640264026</v>
      </c>
      <c r="E59" s="53">
        <f>INDEX('RME data'!$G$92:$Z$122,8,MATCH(Cover!$C$1,'RME data'!$G$92:$Z$92,0))</f>
        <v>0.58599999999999997</v>
      </c>
      <c r="F59" s="53">
        <f>INDEX('EW-MFA data'!$G$137:$AA$167,13,MATCH(Cover!$C$1,'EW-MFA data'!$G$137:$AA$137,0))</f>
        <v>0.52373567708333335</v>
      </c>
      <c r="G59" s="53">
        <f>INDEX('RME data'!$G$92:$Z$122,13,MATCH(Cover!$C$1,'RME data'!$G$92:$Z$92,0))</f>
        <v>0.70699999999999996</v>
      </c>
      <c r="I59" s="54">
        <f>INDEX('EW-MFA data'!$G$137:$AA$167,28,MATCH(Cover!$C$1,'EW-MFA data'!$G$137:$AA$137,0))</f>
        <v>-2.8095413056930751E-2</v>
      </c>
      <c r="J59" s="53">
        <f>INDEX('RME data'!$G$92:$Z$122,28,MATCH(Cover!$C$1,'RME data'!$G$92:$Z$92,0))</f>
        <v>-0.121</v>
      </c>
      <c r="L59" s="204"/>
      <c r="M59" s="204"/>
      <c r="N59" s="204"/>
      <c r="O59" s="54">
        <f>E59-D59</f>
        <v>9.0359735973597366E-2</v>
      </c>
      <c r="P59" s="53">
        <f>G59-F59</f>
        <v>0.18326432291666661</v>
      </c>
    </row>
    <row r="60" spans="3:20" ht="12.5">
      <c r="C60" s="55" t="s">
        <v>40</v>
      </c>
      <c r="D60" s="53">
        <f>INDEX('EW-MFA data'!$G$137:$AA$167,9,MATCH(Cover!$C$1,'EW-MFA data'!$G$137:$AA$137,0))</f>
        <v>0.57092739273927395</v>
      </c>
      <c r="E60" s="53">
        <f>INDEX('RME data'!$G$92:$Z$122,9,MATCH(Cover!$C$1,'RME data'!$G$92:$Z$92,0))</f>
        <v>2.2050000000000001</v>
      </c>
      <c r="F60" s="53">
        <f>INDEX('EW-MFA data'!$G$137:$AA$167,14,MATCH(Cover!$C$1,'EW-MFA data'!$G$137:$AA$137,0))</f>
        <v>0.316197265625</v>
      </c>
      <c r="G60" s="53">
        <f>INDEX('RME data'!$G$92:$Z$122,14,MATCH(Cover!$C$1,'RME data'!$G$92:$Z$92,0))</f>
        <v>1.3460000000000001</v>
      </c>
      <c r="I60" s="54">
        <f>INDEX('EW-MFA data'!$G$137:$AA$167,29,MATCH(Cover!$C$1,'EW-MFA data'!$G$137:$AA$137,0))</f>
        <v>0.25473012711427395</v>
      </c>
      <c r="J60" s="53">
        <f>INDEX('RME data'!$G$92:$Z$122,29,MATCH(Cover!$C$1,'RME data'!$G$92:$Z$92,0))</f>
        <v>0.85899999999999999</v>
      </c>
      <c r="N60" s="204"/>
      <c r="O60" s="54">
        <f t="shared" ref="O60:O62" si="0">E60-D60</f>
        <v>1.6340726072607261</v>
      </c>
      <c r="P60" s="53">
        <f t="shared" ref="P60:P62" si="1">G60-F60</f>
        <v>1.029802734375</v>
      </c>
    </row>
    <row r="61" spans="3:20" ht="12.5">
      <c r="C61" s="55" t="s">
        <v>33</v>
      </c>
      <c r="D61" s="53">
        <f>INDEX('EW-MFA data'!$G$137:$AA$167,10,MATCH(Cover!$C$1,'EW-MFA data'!$G$137:$AA$137,0))</f>
        <v>0.2478201320132013</v>
      </c>
      <c r="E61" s="53">
        <f>INDEX('RME data'!$G$92:$Z$122,10,MATCH(Cover!$C$1,'RME data'!$G$92:$Z$92,0))</f>
        <v>1.147</v>
      </c>
      <c r="F61" s="53">
        <f>INDEX('EW-MFA data'!$G$137:$AA$167,15,MATCH(Cover!$C$1,'EW-MFA data'!$G$137:$AA$137,0))</f>
        <v>0.23035677083333334</v>
      </c>
      <c r="G61" s="53">
        <f>INDEX('RME data'!$G$92:$Z$122,15,MATCH(Cover!$C$1,'RME data'!$G$92:$Z$92,0))</f>
        <v>1.341</v>
      </c>
      <c r="I61" s="54">
        <f>INDEX('EW-MFA data'!$G$137:$AA$167,30,MATCH(Cover!$C$1,'EW-MFA data'!$G$137:$AA$137,0))</f>
        <v>1.7463361179867964E-2</v>
      </c>
      <c r="J61" s="53">
        <f>INDEX('RME data'!$G$92:$Z$122,30,MATCH(Cover!$C$1,'RME data'!$G$92:$Z$92,0))</f>
        <v>-0.19399999999999995</v>
      </c>
      <c r="L61" s="285" t="s">
        <v>314</v>
      </c>
      <c r="M61" s="285"/>
      <c r="N61" s="204"/>
      <c r="O61" s="54">
        <f t="shared" si="0"/>
        <v>0.89917986798679872</v>
      </c>
      <c r="P61" s="53">
        <f t="shared" si="1"/>
        <v>1.1106432291666666</v>
      </c>
    </row>
    <row r="62" spans="3:20" ht="12.5">
      <c r="C62" s="56" t="s">
        <v>43</v>
      </c>
      <c r="D62" s="53">
        <f>INDEX('EW-MFA data'!$G$137:$AA$167,11,MATCH(Cover!$C$1,'EW-MFA data'!$G$137:$AA$137,0))</f>
        <v>2.4876122112211223</v>
      </c>
      <c r="E62" s="162">
        <f>INDEX('RME data'!$G$92:$Z$122,11,MATCH(Cover!$C$1,'RME data'!$G$92:$Z$92,0))</f>
        <v>3.7120000000000002</v>
      </c>
      <c r="F62" s="53">
        <f>INDEX('EW-MFA data'!$G$137:$AA$167,16,MATCH(Cover!$C$1,'EW-MFA data'!$G$137:$AA$137,0))</f>
        <v>0.59871028645833335</v>
      </c>
      <c r="G62" s="53">
        <f>INDEX('RME data'!$G$92:$Z$122,16,MATCH(Cover!$C$1,'RME data'!$G$92:$Z$92,0))</f>
        <v>1.716</v>
      </c>
      <c r="I62" s="54">
        <f>INDEX('EW-MFA data'!$G$137:$AA$167,31,MATCH(Cover!$C$1,'EW-MFA data'!$G$137:$AA$137,0))</f>
        <v>1.888901924762789</v>
      </c>
      <c r="J62" s="53">
        <f>INDEX('RME data'!$G$92:$Z$122,31,MATCH(Cover!$C$1,'RME data'!$G$92:$Z$92,0))</f>
        <v>1.9960000000000002</v>
      </c>
      <c r="L62" s="146" t="s">
        <v>311</v>
      </c>
      <c r="M62" s="146" t="s">
        <v>312</v>
      </c>
      <c r="N62" s="206"/>
      <c r="O62" s="262">
        <f t="shared" si="0"/>
        <v>1.2243877887788779</v>
      </c>
      <c r="P62" s="263">
        <f t="shared" si="1"/>
        <v>1.1172897135416666</v>
      </c>
    </row>
    <row r="63" spans="3:20" ht="13">
      <c r="C63" s="57" t="s">
        <v>14</v>
      </c>
      <c r="D63" s="58">
        <f>SUM(D59:D62)</f>
        <v>3.802</v>
      </c>
      <c r="E63" s="58">
        <f t="shared" ref="E63:G63" si="2">SUM(E59:E62)</f>
        <v>7.65</v>
      </c>
      <c r="F63" s="58">
        <f>SUM(F59:F62)</f>
        <v>1.669</v>
      </c>
      <c r="G63" s="58">
        <f t="shared" si="2"/>
        <v>5.1100000000000003</v>
      </c>
      <c r="I63" s="58">
        <f t="shared" ref="I63" si="3">SUM(I59:I62)</f>
        <v>2.133</v>
      </c>
      <c r="J63" s="58">
        <f t="shared" ref="J63" si="4">SUM(J59:J62)</f>
        <v>2.54</v>
      </c>
      <c r="L63" s="58">
        <f>E63/D63</f>
        <v>2.0120988953182537</v>
      </c>
      <c r="M63" s="58">
        <f>G63/F63</f>
        <v>3.0617136009586581</v>
      </c>
      <c r="N63" s="205"/>
      <c r="O63" s="204"/>
      <c r="P63" s="204"/>
    </row>
    <row r="64" spans="3:20" ht="12">
      <c r="C64" s="51" t="s">
        <v>98</v>
      </c>
      <c r="D64" s="12"/>
      <c r="E64" s="12"/>
      <c r="F64" s="12"/>
      <c r="G64" s="12"/>
      <c r="I64" s="12"/>
    </row>
    <row r="65" spans="3:15">
      <c r="C65" s="3" t="s">
        <v>328</v>
      </c>
      <c r="E65" s="10"/>
      <c r="G65" s="10"/>
      <c r="I65" s="10"/>
    </row>
    <row r="66" spans="3:15">
      <c r="E66" s="10"/>
      <c r="G66" s="10"/>
      <c r="I66" s="10"/>
    </row>
    <row r="68" spans="3:15">
      <c r="C68" s="50" t="str">
        <f>C56</f>
        <v>Comparison of physical imports, exports and physical trade balance including direct flows only and including RME, EU-27, 2019</v>
      </c>
    </row>
    <row r="69" spans="3:15">
      <c r="C69" s="7" t="s">
        <v>50</v>
      </c>
    </row>
    <row r="70" spans="3:15" ht="23">
      <c r="C70" s="89"/>
      <c r="D70" s="145" t="s">
        <v>265</v>
      </c>
      <c r="E70" s="146" t="s">
        <v>73</v>
      </c>
      <c r="F70" s="146" t="s">
        <v>266</v>
      </c>
      <c r="G70" s="146" t="s">
        <v>75</v>
      </c>
      <c r="I70" s="146" t="s">
        <v>74</v>
      </c>
      <c r="J70" s="146" t="s">
        <v>45</v>
      </c>
    </row>
    <row r="71" spans="3:15">
      <c r="C71" s="59" t="s">
        <v>31</v>
      </c>
      <c r="D71" s="60">
        <f>INDEX('EW-MFA data'!$G$102:$AA$132,8,MATCH(Cover!$C$1,'EW-MFA data'!$G$102:$AA$102,0))</f>
        <v>221296.61642496102</v>
      </c>
      <c r="E71" s="60">
        <f>INDEX('RME data'!$G$14:$Z$39,8,MATCH(Cover!$C$1,'RME data'!$G$14:$Z$14,0))</f>
        <v>261969.79699999999</v>
      </c>
      <c r="F71" s="61">
        <f>INDEX('EW-MFA data'!$G$102:$AA$132,13,MATCH(Cover!$C$1,'EW-MFA data'!$G$102:$AA$102,0))</f>
        <v>233800.72511194902</v>
      </c>
      <c r="G71" s="60">
        <f>INDEX('RME data'!$G$14:$Z$39,13,MATCH(Cover!$C$1,'RME data'!$G$14:$Z$14,0))</f>
        <v>315859.80200000003</v>
      </c>
      <c r="H71" s="165"/>
      <c r="I71" s="62">
        <f>INDEX('EW-MFA data'!$G$102:$AA$132,28,MATCH(Cover!$C$1,'EW-MFA data'!$G$102:$AA$102,0))</f>
        <v>-12504.108686988009</v>
      </c>
      <c r="J71" s="163">
        <f>INDEX('RME data'!$G$82:$Z$87,3,MATCH(Cover!$C$1,'RME data'!$G$82:$Z$82,0))</f>
        <v>-53890.005000000034</v>
      </c>
      <c r="M71" s="12"/>
      <c r="N71" s="12"/>
      <c r="O71" s="12"/>
    </row>
    <row r="72" spans="3:15">
      <c r="C72" s="63" t="s">
        <v>32</v>
      </c>
      <c r="D72" s="64">
        <f>INDEX('EW-MFA data'!$G$102:$AA$132,9,MATCH(Cover!$C$1,'EW-MFA data'!$G$102:$AA$102,0))</f>
        <v>254949.70718178002</v>
      </c>
      <c r="E72" s="64">
        <f>INDEX('RME data'!$G$14:$Z$39,9,MATCH(Cover!$C$1,'RME data'!$G$14:$Z$14,0))</f>
        <v>985464.15300000005</v>
      </c>
      <c r="F72" s="65">
        <f>INDEX('EW-MFA data'!$G$102:$AA$132,14,MATCH(Cover!$C$1,'EW-MFA data'!$G$102:$AA$102,0))</f>
        <v>141280.54319119538</v>
      </c>
      <c r="G72" s="64">
        <f>INDEX('RME data'!$G$14:$Z$39,14,MATCH(Cover!$C$1,'RME data'!$G$14:$Z$14,0))</f>
        <v>601554.33600000001</v>
      </c>
      <c r="H72" s="165"/>
      <c r="I72" s="66">
        <f>INDEX('EW-MFA data'!$G$102:$AA$132,29,MATCH(Cover!$C$1,'EW-MFA data'!$G$102:$AA$102,0))</f>
        <v>113669.16399058464</v>
      </c>
      <c r="J72" s="164">
        <f>INDEX('RME data'!$G$82:$Z$87,4,MATCH(Cover!$C$1,'RME data'!$G$82:$Z$82,0))</f>
        <v>383909.81700000004</v>
      </c>
      <c r="M72" s="12"/>
      <c r="N72" s="12"/>
      <c r="O72" s="12"/>
    </row>
    <row r="73" spans="3:15">
      <c r="C73" s="63" t="s">
        <v>33</v>
      </c>
      <c r="D73" s="64">
        <f>INDEX('EW-MFA data'!$G$102:$AA$132,10,MATCH(Cover!$C$1,'EW-MFA data'!$G$102:$AA$102,0))</f>
        <v>110648.84257672113</v>
      </c>
      <c r="E73" s="64">
        <f>INDEX('RME data'!$G$14:$Z$39,10,MATCH(Cover!$C$1,'RME data'!$G$14:$Z$14,0))</f>
        <v>512778.283</v>
      </c>
      <c r="F73" s="65">
        <f>INDEX('EW-MFA data'!$G$102:$AA$132,15,MATCH(Cover!$C$1,'EW-MFA data'!$G$102:$AA$102,0))</f>
        <v>102977.6145247954</v>
      </c>
      <c r="G73" s="64">
        <f>INDEX('RME data'!$G$14:$Z$39,15,MATCH(Cover!$C$1,'RME data'!$G$14:$Z$14,0))</f>
        <v>599090.31499999994</v>
      </c>
      <c r="H73" s="165"/>
      <c r="I73" s="66">
        <f>INDEX('EW-MFA data'!$G$102:$AA$132,30,MATCH(Cover!$C$1,'EW-MFA data'!$G$102:$AA$102,0))</f>
        <v>7671.2280519257329</v>
      </c>
      <c r="J73" s="164">
        <f>INDEX('RME data'!$G$82:$Z$87,5,MATCH(Cover!$C$1,'RME data'!$G$82:$Z$82,0))</f>
        <v>-86312.031999999948</v>
      </c>
      <c r="M73" s="12"/>
      <c r="N73" s="12"/>
      <c r="O73" s="12"/>
    </row>
    <row r="74" spans="3:15">
      <c r="C74" s="67" t="s">
        <v>34</v>
      </c>
      <c r="D74" s="68">
        <f>INDEX('EW-MFA data'!$G$102:$AA$132,11,MATCH(Cover!$C$1,'EW-MFA data'!$G$102:$AA$102,0))</f>
        <v>1111951.2638165378</v>
      </c>
      <c r="E74" s="64">
        <f>INDEX('RME data'!$G$14:$Z$39,11,MATCH(Cover!$C$1,'RME data'!$G$14:$Z$14,0))</f>
        <v>1658921.338</v>
      </c>
      <c r="F74" s="65">
        <f>INDEX('EW-MFA data'!$G$102:$AA$132,16,MATCH(Cover!$C$1,'EW-MFA data'!$G$102:$AA$102,0))</f>
        <v>267475.52417206019</v>
      </c>
      <c r="G74" s="64">
        <f>INDEX('RME data'!$G$14:$Z$39,16,MATCH(Cover!$C$1,'RME data'!$G$14:$Z$14,0))</f>
        <v>767070.22199999995</v>
      </c>
      <c r="H74" s="165"/>
      <c r="I74" s="66">
        <f>INDEX('EW-MFA data'!$G$102:$AA$132,31,MATCH(Cover!$C$1,'EW-MFA data'!$G$102:$AA$102,0))</f>
        <v>844475.73964447761</v>
      </c>
      <c r="J74" s="164">
        <f>INDEX('RME data'!$G$82:$Z$87,6,MATCH(Cover!$C$1,'RME data'!$G$82:$Z$82,0))</f>
        <v>891851.11600000004</v>
      </c>
      <c r="M74" s="12"/>
      <c r="N74" s="12"/>
      <c r="O74" s="12"/>
    </row>
    <row r="75" spans="3:15">
      <c r="C75" s="69" t="s">
        <v>14</v>
      </c>
      <c r="D75" s="70">
        <f>SUM(D71:D74)</f>
        <v>1698846.43</v>
      </c>
      <c r="E75" s="70">
        <f t="shared" ref="E75:G75" si="5">SUM(E71:E74)</f>
        <v>3419133.571</v>
      </c>
      <c r="F75" s="70">
        <f>SUM(F71:F74)</f>
        <v>745534.40699999989</v>
      </c>
      <c r="G75" s="70">
        <f t="shared" si="5"/>
        <v>2283574.6749999998</v>
      </c>
      <c r="H75" s="165"/>
      <c r="I75" s="70">
        <f t="shared" ref="I75" si="6">SUM(I71:I74)</f>
        <v>953312.02299999993</v>
      </c>
      <c r="J75" s="70">
        <f t="shared" ref="J75" si="7">SUM(J71:J74)</f>
        <v>1135558.8960000002</v>
      </c>
      <c r="M75" s="12"/>
      <c r="N75" s="12"/>
      <c r="O75" s="12"/>
    </row>
    <row r="76" spans="3:15" ht="12">
      <c r="C76" s="51" t="s">
        <v>98</v>
      </c>
      <c r="D76" s="71"/>
      <c r="E76" s="71"/>
      <c r="F76" s="71"/>
      <c r="G76" s="71"/>
    </row>
    <row r="77" spans="3:15">
      <c r="C77" s="3" t="s">
        <v>328</v>
      </c>
    </row>
    <row r="81" spans="3:4">
      <c r="C81" s="11"/>
      <c r="D81" s="11"/>
    </row>
  </sheetData>
  <mergeCells count="3">
    <mergeCell ref="K35:L35"/>
    <mergeCell ref="O57:P57"/>
    <mergeCell ref="L61:M61"/>
  </mergeCells>
  <pageMargins left="0.7" right="0.7" top="0.78740157499999996" bottom="0.78740157499999996" header="0.3" footer="0.3"/>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P55"/>
  <sheetViews>
    <sheetView showGridLines="0" zoomScaleNormal="100" workbookViewId="0"/>
  </sheetViews>
  <sheetFormatPr defaultColWidth="9.1796875" defaultRowHeight="11.5"/>
  <cols>
    <col min="1" max="2" width="4.7265625" style="3" customWidth="1"/>
    <col min="3" max="3" width="33.54296875" style="3" customWidth="1"/>
    <col min="4" max="4" width="10.81640625" style="3" customWidth="1"/>
    <col min="5" max="5" width="15.26953125" style="3" customWidth="1"/>
    <col min="6" max="17" width="11.1796875" style="3" bestFit="1" customWidth="1"/>
    <col min="18" max="18" width="10" style="3" bestFit="1" customWidth="1"/>
    <col min="19" max="16384" width="9.1796875" style="3"/>
  </cols>
  <sheetData>
    <row r="1" spans="1:15" ht="15.5">
      <c r="A1" s="222" t="str">
        <f>"Material flow indicators derived from EW-MFA and MFA in RME, EU-27, "&amp;Cover!C1</f>
        <v>Material flow indicators derived from EW-MFA and MFA in RME, EU-27, 2019</v>
      </c>
    </row>
    <row r="5" spans="1:15">
      <c r="C5" s="1"/>
      <c r="D5" s="1"/>
      <c r="E5" s="1"/>
      <c r="F5" s="1"/>
      <c r="G5" s="1"/>
      <c r="H5" s="1"/>
      <c r="I5" s="1"/>
      <c r="J5" s="1"/>
      <c r="K5" s="1"/>
      <c r="L5" s="1"/>
      <c r="M5" s="1"/>
      <c r="N5" s="1"/>
      <c r="O5" s="2"/>
    </row>
    <row r="6" spans="1:15">
      <c r="D6" s="4"/>
      <c r="E6" s="4"/>
      <c r="F6" s="4"/>
      <c r="G6" s="4"/>
      <c r="H6" s="4"/>
      <c r="I6" s="4"/>
      <c r="J6" s="4"/>
      <c r="K6" s="5"/>
      <c r="L6" s="4"/>
      <c r="M6" s="5"/>
      <c r="N6" s="6"/>
      <c r="O6" s="6"/>
    </row>
    <row r="7" spans="1:15">
      <c r="C7" s="7"/>
      <c r="D7" s="4"/>
      <c r="E7" s="4"/>
      <c r="F7" s="4"/>
      <c r="G7" s="4"/>
      <c r="H7" s="4"/>
      <c r="I7" s="4"/>
      <c r="J7" s="4"/>
      <c r="K7" s="6"/>
      <c r="L7" s="4"/>
      <c r="M7" s="6"/>
      <c r="N7" s="6"/>
      <c r="O7" s="6"/>
    </row>
    <row r="8" spans="1:15">
      <c r="C8" s="1"/>
      <c r="D8" s="1"/>
      <c r="E8" s="1"/>
      <c r="F8" s="1"/>
      <c r="G8" s="1"/>
      <c r="H8" s="1"/>
      <c r="I8" s="1"/>
      <c r="J8" s="1"/>
      <c r="K8" s="1"/>
      <c r="L8" s="1"/>
      <c r="M8" s="1"/>
      <c r="N8" s="1"/>
      <c r="O8" s="2"/>
    </row>
    <row r="9" spans="1:15">
      <c r="C9" s="1"/>
      <c r="D9" s="1"/>
      <c r="E9" s="1"/>
      <c r="F9" s="1"/>
      <c r="G9" s="1"/>
      <c r="H9" s="1"/>
      <c r="I9" s="1"/>
      <c r="J9" s="1"/>
      <c r="K9" s="1"/>
      <c r="L9" s="1"/>
      <c r="M9" s="1"/>
      <c r="N9" s="1"/>
      <c r="O9" s="2"/>
    </row>
    <row r="10" spans="1:15">
      <c r="C10" s="1"/>
      <c r="D10" s="1"/>
      <c r="E10" s="1"/>
      <c r="F10" s="1"/>
      <c r="G10" s="1"/>
      <c r="H10" s="1"/>
      <c r="I10" s="1"/>
      <c r="J10" s="1"/>
      <c r="K10" s="1"/>
      <c r="L10" s="1"/>
      <c r="M10" s="1"/>
      <c r="N10" s="1"/>
      <c r="O10" s="2"/>
    </row>
    <row r="11" spans="1:15">
      <c r="C11" s="1"/>
      <c r="D11" s="1"/>
      <c r="E11" s="1"/>
      <c r="F11" s="1"/>
      <c r="G11" s="1"/>
      <c r="H11" s="1"/>
      <c r="I11" s="1"/>
      <c r="J11" s="1"/>
      <c r="K11" s="1"/>
      <c r="L11" s="1"/>
      <c r="M11" s="1"/>
      <c r="N11" s="1"/>
      <c r="O11" s="2"/>
    </row>
    <row r="12" spans="1:15">
      <c r="C12" s="1"/>
      <c r="D12" s="1"/>
      <c r="E12" s="1"/>
      <c r="F12" s="1"/>
      <c r="G12" s="1"/>
      <c r="H12" s="1"/>
      <c r="I12" s="1"/>
      <c r="J12" s="1"/>
      <c r="K12" s="1"/>
      <c r="L12" s="1"/>
      <c r="M12" s="1"/>
      <c r="N12" s="1"/>
      <c r="O12" s="2"/>
    </row>
    <row r="13" spans="1:15">
      <c r="C13" s="1"/>
      <c r="D13" s="1"/>
      <c r="E13" s="1"/>
      <c r="F13" s="1"/>
      <c r="G13" s="1"/>
      <c r="H13" s="1"/>
      <c r="I13" s="1"/>
      <c r="J13" s="1"/>
      <c r="K13" s="1"/>
      <c r="L13" s="1"/>
      <c r="M13" s="1"/>
      <c r="N13" s="1"/>
      <c r="O13" s="2"/>
    </row>
    <row r="14" spans="1:15">
      <c r="C14" s="1"/>
      <c r="D14" s="1"/>
      <c r="E14" s="1"/>
      <c r="F14" s="1"/>
      <c r="G14" s="1"/>
      <c r="H14" s="1"/>
      <c r="I14" s="1"/>
      <c r="J14" s="1"/>
      <c r="K14" s="1"/>
      <c r="L14" s="1"/>
      <c r="M14" s="1"/>
      <c r="N14" s="1"/>
      <c r="O14" s="2"/>
    </row>
    <row r="15" spans="1:15">
      <c r="C15" s="1"/>
      <c r="D15" s="1"/>
      <c r="E15" s="1"/>
      <c r="F15" s="1"/>
      <c r="G15" s="1"/>
      <c r="H15" s="1"/>
      <c r="I15" s="1"/>
      <c r="J15" s="1"/>
      <c r="K15" s="1"/>
      <c r="L15" s="1"/>
      <c r="M15" s="1"/>
      <c r="N15" s="1"/>
      <c r="O15" s="2"/>
    </row>
    <row r="16" spans="1:15">
      <c r="C16" s="1"/>
      <c r="D16" s="1"/>
      <c r="E16" s="1"/>
      <c r="F16" s="1"/>
      <c r="G16" s="1"/>
      <c r="H16" s="1"/>
      <c r="I16" s="1"/>
      <c r="J16" s="1"/>
      <c r="K16" s="1"/>
      <c r="L16" s="1"/>
      <c r="M16" s="1"/>
      <c r="N16" s="1"/>
      <c r="O16" s="2"/>
    </row>
    <row r="17" spans="3:16">
      <c r="C17" s="1"/>
      <c r="D17" s="1"/>
      <c r="E17" s="1"/>
      <c r="F17" s="1"/>
      <c r="G17" s="1"/>
      <c r="H17" s="1"/>
      <c r="I17" s="1"/>
      <c r="J17" s="1"/>
      <c r="K17" s="1"/>
      <c r="L17" s="1"/>
      <c r="M17" s="1"/>
      <c r="N17" s="1"/>
      <c r="O17" s="72"/>
    </row>
    <row r="18" spans="3:16">
      <c r="C18" s="1"/>
      <c r="D18" s="1"/>
      <c r="E18" s="1"/>
      <c r="F18" s="1"/>
      <c r="G18" s="1"/>
      <c r="H18" s="1"/>
      <c r="I18" s="1"/>
      <c r="J18" s="1"/>
      <c r="K18" s="1"/>
      <c r="L18" s="1"/>
      <c r="M18" s="1"/>
      <c r="N18" s="1"/>
      <c r="O18" s="73"/>
      <c r="P18" s="74"/>
    </row>
    <row r="19" spans="3:16">
      <c r="C19" s="1"/>
      <c r="D19" s="1"/>
      <c r="E19" s="1"/>
      <c r="F19" s="1"/>
      <c r="G19" s="1"/>
      <c r="H19" s="1"/>
      <c r="I19" s="1"/>
      <c r="J19" s="1"/>
      <c r="K19" s="1"/>
      <c r="L19" s="1"/>
      <c r="M19" s="1"/>
      <c r="N19" s="1"/>
      <c r="O19" s="2"/>
    </row>
    <row r="20" spans="3:16">
      <c r="C20" s="1"/>
      <c r="D20" s="1"/>
      <c r="E20" s="1"/>
      <c r="F20" s="1"/>
      <c r="G20" s="1"/>
      <c r="H20" s="1"/>
      <c r="I20" s="1"/>
      <c r="J20" s="1"/>
      <c r="K20" s="1"/>
      <c r="L20" s="1"/>
      <c r="M20" s="1"/>
      <c r="N20" s="1"/>
      <c r="O20" s="2"/>
    </row>
    <row r="21" spans="3:16">
      <c r="C21" s="1"/>
      <c r="D21" s="1"/>
      <c r="E21" s="1"/>
      <c r="F21" s="1"/>
      <c r="G21" s="1"/>
      <c r="H21" s="1"/>
      <c r="I21" s="1"/>
      <c r="J21" s="1"/>
      <c r="K21" s="1"/>
      <c r="L21" s="1"/>
      <c r="M21" s="1"/>
      <c r="N21" s="1"/>
      <c r="O21" s="2"/>
    </row>
    <row r="22" spans="3:16">
      <c r="C22" s="1"/>
      <c r="D22" s="1"/>
      <c r="E22" s="1"/>
      <c r="F22" s="1"/>
      <c r="G22" s="1"/>
      <c r="H22" s="1"/>
      <c r="I22" s="1"/>
      <c r="J22" s="1"/>
      <c r="K22" s="1"/>
      <c r="L22" s="1"/>
      <c r="M22" s="1"/>
      <c r="N22" s="1"/>
      <c r="O22" s="2"/>
    </row>
    <row r="23" spans="3:16">
      <c r="C23" s="1"/>
      <c r="D23" s="1"/>
      <c r="E23" s="1"/>
      <c r="F23" s="1"/>
      <c r="G23" s="1"/>
      <c r="H23" s="1"/>
      <c r="I23" s="1"/>
      <c r="J23" s="1"/>
      <c r="K23" s="1"/>
      <c r="L23" s="1"/>
      <c r="M23" s="1"/>
      <c r="N23" s="1"/>
      <c r="O23" s="2"/>
    </row>
    <row r="24" spans="3:16">
      <c r="C24" s="1"/>
      <c r="D24" s="1"/>
      <c r="E24" s="1"/>
      <c r="F24" s="1"/>
      <c r="G24" s="1"/>
      <c r="H24" s="1"/>
      <c r="I24" s="1"/>
      <c r="J24" s="1"/>
      <c r="K24" s="1"/>
      <c r="L24" s="1"/>
      <c r="M24" s="1"/>
      <c r="N24" s="1"/>
      <c r="O24" s="2"/>
    </row>
    <row r="25" spans="3:16">
      <c r="C25" s="1"/>
      <c r="D25" s="1"/>
      <c r="E25" s="1"/>
      <c r="F25" s="1"/>
      <c r="G25" s="1"/>
      <c r="H25" s="1"/>
      <c r="I25" s="1"/>
      <c r="J25" s="1"/>
      <c r="K25" s="1"/>
      <c r="L25" s="1"/>
      <c r="M25" s="1"/>
      <c r="N25" s="1"/>
      <c r="O25" s="2"/>
    </row>
    <row r="26" spans="3:16">
      <c r="C26" s="1"/>
      <c r="D26" s="1"/>
      <c r="E26" s="1"/>
      <c r="F26" s="1"/>
      <c r="G26" s="1"/>
      <c r="H26" s="1"/>
      <c r="I26" s="1"/>
      <c r="J26" s="1"/>
      <c r="K26" s="1"/>
      <c r="L26" s="1"/>
      <c r="M26" s="1"/>
      <c r="N26" s="1"/>
      <c r="O26" s="2"/>
    </row>
    <row r="27" spans="3:16">
      <c r="C27" s="1"/>
      <c r="D27" s="1"/>
      <c r="E27" s="1"/>
      <c r="F27" s="1"/>
      <c r="G27" s="1"/>
      <c r="H27" s="1"/>
      <c r="I27" s="1"/>
      <c r="J27" s="1"/>
      <c r="K27" s="1"/>
      <c r="L27" s="1"/>
      <c r="M27" s="1"/>
      <c r="N27" s="1"/>
      <c r="O27" s="2"/>
    </row>
    <row r="28" spans="3:16">
      <c r="C28" s="1"/>
      <c r="D28" s="1"/>
      <c r="E28" s="1"/>
      <c r="F28" s="1"/>
      <c r="G28" s="1"/>
      <c r="H28" s="1"/>
      <c r="I28" s="1"/>
      <c r="J28" s="1"/>
      <c r="K28" s="1"/>
      <c r="L28" s="1"/>
      <c r="M28" s="1"/>
      <c r="N28" s="1"/>
      <c r="O28" s="2"/>
    </row>
    <row r="29" spans="3:16">
      <c r="C29" s="1"/>
      <c r="D29" s="1"/>
      <c r="E29" s="1"/>
      <c r="F29" s="1"/>
      <c r="G29" s="1"/>
      <c r="H29" s="1"/>
      <c r="I29" s="1"/>
      <c r="J29" s="1"/>
      <c r="K29" s="1"/>
      <c r="L29" s="1"/>
      <c r="M29" s="1"/>
      <c r="N29" s="1"/>
      <c r="O29" s="2"/>
    </row>
    <row r="30" spans="3:16">
      <c r="C30" s="1"/>
      <c r="D30" s="1"/>
      <c r="E30" s="1"/>
      <c r="F30" s="1"/>
      <c r="G30" s="1"/>
      <c r="H30" s="1"/>
      <c r="I30" s="1"/>
      <c r="J30" s="1"/>
      <c r="K30" s="1"/>
      <c r="L30" s="1"/>
      <c r="M30" s="1"/>
      <c r="N30" s="1"/>
      <c r="O30" s="2"/>
    </row>
    <row r="31" spans="3:16">
      <c r="D31" s="1"/>
      <c r="E31" s="1"/>
      <c r="F31" s="1"/>
      <c r="G31" s="1"/>
      <c r="H31" s="1"/>
      <c r="I31" s="1"/>
      <c r="J31" s="1"/>
      <c r="K31" s="1"/>
      <c r="L31" s="1"/>
      <c r="M31" s="1"/>
      <c r="N31" s="1"/>
      <c r="O31" s="2"/>
    </row>
    <row r="32" spans="3:16">
      <c r="C32" s="1"/>
      <c r="D32" s="1"/>
      <c r="E32" s="1"/>
      <c r="F32" s="1"/>
      <c r="G32" s="1"/>
      <c r="H32" s="1"/>
      <c r="I32" s="1"/>
      <c r="J32" s="1"/>
      <c r="K32" s="1"/>
      <c r="L32" s="1"/>
      <c r="M32" s="1"/>
      <c r="N32" s="1"/>
      <c r="O32" s="2"/>
    </row>
    <row r="43" spans="3:14" ht="12">
      <c r="C43" s="286" t="s">
        <v>308</v>
      </c>
      <c r="D43" s="286"/>
      <c r="E43" s="286"/>
      <c r="F43" s="286"/>
      <c r="G43" s="286"/>
      <c r="H43" s="286"/>
      <c r="I43" s="286"/>
      <c r="J43" s="286"/>
      <c r="K43" s="286"/>
      <c r="L43" s="286"/>
      <c r="M43" s="286"/>
      <c r="N43" s="286"/>
    </row>
    <row r="48" spans="3:14">
      <c r="C48" s="35" t="str">
        <f>"Comparison of actual material flow indicators with material flow indicators expressed in raw material equivalents (RME), EU-27, "&amp;Cover!C1</f>
        <v>Comparison of actual material flow indicators with material flow indicators expressed in raw material equivalents (RME), EU-27, 2019</v>
      </c>
    </row>
    <row r="49" spans="3:12">
      <c r="C49" s="3" t="s">
        <v>41</v>
      </c>
    </row>
    <row r="50" spans="3:12">
      <c r="C50" s="89"/>
      <c r="D50" s="89">
        <f>Cover!C1</f>
        <v>2019</v>
      </c>
      <c r="E50" s="89"/>
      <c r="F50" s="89">
        <f>Cover!C1</f>
        <v>2019</v>
      </c>
      <c r="G50" s="89" t="s">
        <v>0</v>
      </c>
    </row>
    <row r="51" spans="3:12">
      <c r="C51" s="75" t="s">
        <v>1</v>
      </c>
      <c r="D51" s="76">
        <f>INDEX('EW-MFA data'!$G$137:$AA$167,2,MATCH(Cover!$C$1,'EW-MFA data'!$G$137:$AA$137,0))</f>
        <v>11.917</v>
      </c>
      <c r="E51" s="75" t="s">
        <v>46</v>
      </c>
      <c r="F51" s="76">
        <f>INDEX('EW-MFA data'!$G$137:$AA$167,7,MATCH(Cover!$C$1,'EW-MFA data'!$G$137:$AA$137,0))</f>
        <v>3.802</v>
      </c>
      <c r="G51" s="76">
        <f>SUM(D51:F51)</f>
        <v>15.718999999999999</v>
      </c>
    </row>
    <row r="52" spans="3:12">
      <c r="C52" s="77" t="s">
        <v>268</v>
      </c>
      <c r="D52" s="76">
        <f>INDEX('EW-MFA data'!$G$137:$AA$167,17,MATCH(Cover!$C$1,'EW-MFA data'!$G$137:$AA$137,0))</f>
        <v>14.051</v>
      </c>
      <c r="E52" s="75" t="s">
        <v>4</v>
      </c>
      <c r="F52" s="76">
        <f>INDEX('EW-MFA data'!$G$137:$AA$167,12,MATCH(Cover!$C$1,'EW-MFA data'!$G$137:$AA$137,0))</f>
        <v>1.6679999999999999</v>
      </c>
      <c r="G52" s="76">
        <f>SUM(D52:F52)</f>
        <v>15.718999999999999</v>
      </c>
    </row>
    <row r="53" spans="3:12">
      <c r="C53" s="52" t="s">
        <v>1</v>
      </c>
      <c r="D53" s="257">
        <f>INDEX('RME data'!$G$92:$Z$122,2,MATCH(Cover!$C$1,'RME data'!$G$92:$Z$92,0))</f>
        <v>11.917</v>
      </c>
      <c r="E53" s="52" t="s">
        <v>6</v>
      </c>
      <c r="F53" s="257">
        <f>INDEX('RME data'!$G$92:$Z$122,7,MATCH(Cover!$C$1,'RME data'!$G$92:$Z$92,0))</f>
        <v>7.6509999999999998</v>
      </c>
      <c r="G53" s="257">
        <f>SUM(D53:F53)</f>
        <v>19.567999999999998</v>
      </c>
      <c r="I53" s="287" t="s">
        <v>315</v>
      </c>
      <c r="J53" s="287"/>
      <c r="K53" s="287" t="s">
        <v>316</v>
      </c>
      <c r="L53" s="287"/>
    </row>
    <row r="54" spans="3:12">
      <c r="C54" s="258" t="s">
        <v>3</v>
      </c>
      <c r="D54" s="259">
        <f>INDEX('RME data'!$G$92:$Z$122,17,MATCH(Cover!$C$1,'RME data'!$G$92:$Z$92,0))</f>
        <v>14.458</v>
      </c>
      <c r="E54" s="260" t="s">
        <v>44</v>
      </c>
      <c r="F54" s="259">
        <f>INDEX('RME data'!$G$92:$Z$122,12,MATCH(Cover!$C$1,'RME data'!$G$92:$Z$92,0))</f>
        <v>5.1100000000000003</v>
      </c>
      <c r="G54" s="259">
        <f>SUM(D54:F54)</f>
        <v>19.568000000000001</v>
      </c>
      <c r="I54" s="288">
        <f>(D54-D52)/D52</f>
        <v>2.8965909899651272E-2</v>
      </c>
      <c r="J54" s="289"/>
      <c r="K54" s="288">
        <f>(G53-G51)/G51</f>
        <v>0.24486290476493405</v>
      </c>
      <c r="L54" s="290"/>
    </row>
    <row r="55" spans="3:12" ht="12">
      <c r="C55" s="78" t="s">
        <v>308</v>
      </c>
    </row>
  </sheetData>
  <mergeCells count="5">
    <mergeCell ref="C43:N43"/>
    <mergeCell ref="I53:J53"/>
    <mergeCell ref="K53:L53"/>
    <mergeCell ref="I54:J54"/>
    <mergeCell ref="K54:L54"/>
  </mergeCells>
  <pageMargins left="0.70866141732283472" right="0.70866141732283472" top="0.74803149606299213" bottom="0.74803149606299213" header="0.31496062992125984" footer="0.31496062992125984"/>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Z77"/>
  <sheetViews>
    <sheetView showGridLines="0" zoomScaleNormal="100" workbookViewId="0"/>
  </sheetViews>
  <sheetFormatPr defaultColWidth="9.1796875" defaultRowHeight="11.5"/>
  <cols>
    <col min="1" max="2" width="4.7265625" style="3" customWidth="1"/>
    <col min="3" max="3" width="31.453125" style="3" customWidth="1"/>
    <col min="4" max="5" width="9.1796875" style="3" customWidth="1"/>
    <col min="6" max="16384" width="9.1796875" style="3"/>
  </cols>
  <sheetData>
    <row r="1" spans="1:1" ht="15.5">
      <c r="A1" s="222" t="str">
        <f>"Raw material consumption (RMC) by main material categories, EU-27, 2000-"&amp;Cover!C1</f>
        <v>Raw material consumption (RMC) by main material categories, EU-27, 2000-2019</v>
      </c>
    </row>
    <row r="37" spans="3:12" ht="12">
      <c r="C37" s="225"/>
      <c r="D37" s="225"/>
      <c r="E37" s="225"/>
      <c r="F37" s="225"/>
      <c r="G37" s="225"/>
      <c r="H37" s="225"/>
      <c r="I37" s="225"/>
      <c r="J37" s="225"/>
      <c r="K37" s="225"/>
      <c r="L37" s="225"/>
    </row>
    <row r="38" spans="3:12" ht="12">
      <c r="C38" s="225"/>
      <c r="D38" s="225"/>
      <c r="E38" s="225"/>
      <c r="F38" s="225"/>
      <c r="G38" s="225"/>
      <c r="H38" s="225"/>
      <c r="I38" s="225"/>
      <c r="J38" s="225"/>
      <c r="K38" s="225"/>
      <c r="L38" s="225"/>
    </row>
    <row r="39" spans="3:12" ht="12">
      <c r="C39" s="225"/>
      <c r="D39" s="225"/>
      <c r="E39" s="225"/>
      <c r="F39" s="225"/>
      <c r="G39" s="225"/>
      <c r="H39" s="225"/>
      <c r="I39" s="225"/>
      <c r="J39" s="225"/>
      <c r="K39" s="225"/>
      <c r="L39" s="225"/>
    </row>
    <row r="40" spans="3:12" ht="12">
      <c r="C40" s="225"/>
      <c r="D40" s="225"/>
      <c r="E40" s="225"/>
      <c r="F40" s="225"/>
      <c r="G40" s="225"/>
      <c r="H40" s="225"/>
      <c r="I40" s="225"/>
      <c r="J40" s="225"/>
      <c r="K40" s="225"/>
      <c r="L40" s="225"/>
    </row>
    <row r="41" spans="3:12" ht="12">
      <c r="C41" s="225"/>
      <c r="D41" s="225"/>
      <c r="E41" s="225"/>
      <c r="F41" s="225"/>
      <c r="G41" s="225"/>
      <c r="H41" s="225"/>
      <c r="I41" s="225"/>
      <c r="J41" s="225"/>
      <c r="K41" s="225"/>
      <c r="L41" s="225"/>
    </row>
    <row r="42" spans="3:12" ht="12">
      <c r="C42" s="225"/>
      <c r="D42" s="225"/>
      <c r="E42" s="225"/>
      <c r="F42" s="225"/>
      <c r="G42" s="225"/>
      <c r="H42" s="225"/>
      <c r="I42" s="225"/>
      <c r="J42" s="225"/>
      <c r="K42" s="225"/>
      <c r="L42" s="225"/>
    </row>
    <row r="43" spans="3:12" ht="12">
      <c r="C43" s="225"/>
      <c r="D43" s="225"/>
      <c r="E43" s="225"/>
      <c r="F43" s="225"/>
      <c r="G43" s="225"/>
      <c r="H43" s="225"/>
      <c r="I43" s="225"/>
      <c r="J43" s="225"/>
      <c r="K43" s="225"/>
      <c r="L43" s="225"/>
    </row>
    <row r="44" spans="3:12" ht="12">
      <c r="C44" s="225"/>
      <c r="D44" s="225"/>
      <c r="E44" s="225"/>
      <c r="F44" s="225"/>
      <c r="G44" s="225"/>
      <c r="H44" s="225"/>
      <c r="I44" s="225"/>
      <c r="J44" s="225"/>
      <c r="K44" s="225"/>
      <c r="L44" s="225"/>
    </row>
    <row r="45" spans="3:12" ht="12">
      <c r="C45" s="225"/>
      <c r="D45" s="225"/>
      <c r="E45" s="225"/>
      <c r="F45" s="225"/>
      <c r="G45" s="225"/>
      <c r="H45" s="225"/>
      <c r="I45" s="225"/>
      <c r="J45" s="225"/>
      <c r="K45" s="225"/>
      <c r="L45" s="225"/>
    </row>
    <row r="46" spans="3:12" ht="12">
      <c r="C46" s="286" t="s">
        <v>308</v>
      </c>
      <c r="D46" s="286"/>
      <c r="E46" s="286"/>
      <c r="F46" s="286"/>
      <c r="G46" s="286"/>
      <c r="H46" s="286"/>
      <c r="I46" s="286"/>
      <c r="J46" s="286"/>
      <c r="K46" s="286"/>
      <c r="L46" s="286"/>
    </row>
    <row r="51" spans="3:23">
      <c r="C51" s="50" t="str">
        <f>"RMC broken down by material categories, EU-27, 2000-"&amp;Cover!C1</f>
        <v>RMC broken down by material categories, EU-27, 2000-2019</v>
      </c>
      <c r="D51" s="50"/>
      <c r="E51" s="50"/>
    </row>
    <row r="52" spans="3:23">
      <c r="C52" s="7" t="s">
        <v>41</v>
      </c>
      <c r="D52" s="7"/>
      <c r="E52" s="7"/>
    </row>
    <row r="53" spans="3:23">
      <c r="C53" s="89"/>
      <c r="D53" s="89">
        <v>2000</v>
      </c>
      <c r="E53" s="89">
        <v>2001</v>
      </c>
      <c r="F53" s="90">
        <v>2002</v>
      </c>
      <c r="G53" s="91">
        <v>2003</v>
      </c>
      <c r="H53" s="90">
        <v>2004</v>
      </c>
      <c r="I53" s="91">
        <v>2005</v>
      </c>
      <c r="J53" s="90">
        <v>2006</v>
      </c>
      <c r="K53" s="91">
        <v>2007</v>
      </c>
      <c r="L53" s="90">
        <v>2008</v>
      </c>
      <c r="M53" s="91">
        <v>2009</v>
      </c>
      <c r="N53" s="90">
        <v>2010</v>
      </c>
      <c r="O53" s="91">
        <v>2011</v>
      </c>
      <c r="P53" s="90">
        <v>2012</v>
      </c>
      <c r="Q53" s="91">
        <v>2013</v>
      </c>
      <c r="R53" s="91">
        <v>2014</v>
      </c>
      <c r="S53" s="91">
        <v>2015</v>
      </c>
      <c r="T53" s="91">
        <v>2016</v>
      </c>
      <c r="U53" s="91">
        <v>2017</v>
      </c>
      <c r="V53" s="91">
        <v>2018</v>
      </c>
      <c r="W53" s="91">
        <v>2019</v>
      </c>
    </row>
    <row r="54" spans="3:23">
      <c r="C54" s="52" t="s">
        <v>31</v>
      </c>
      <c r="D54" s="53">
        <f>'RME data'!G64</f>
        <v>3.359</v>
      </c>
      <c r="E54" s="53">
        <f>'RME data'!H64</f>
        <v>3.3490000000000002</v>
      </c>
      <c r="F54" s="53">
        <f>'RME data'!I64</f>
        <v>3.3420000000000001</v>
      </c>
      <c r="G54" s="53">
        <f>'RME data'!J64</f>
        <v>3.0830000000000002</v>
      </c>
      <c r="H54" s="53">
        <f>'RME data'!K64</f>
        <v>3.52</v>
      </c>
      <c r="I54" s="53">
        <f>'RME data'!L64</f>
        <v>3.3359999999999999</v>
      </c>
      <c r="J54" s="53">
        <f>'RME data'!M64</f>
        <v>3.1749999999999998</v>
      </c>
      <c r="K54" s="53">
        <f>'RME data'!N64</f>
        <v>3.2879999999999998</v>
      </c>
      <c r="L54" s="53">
        <f>'RME data'!O64</f>
        <v>3.3220000000000001</v>
      </c>
      <c r="M54" s="53">
        <f>'RME data'!P64</f>
        <v>3.2090000000000001</v>
      </c>
      <c r="N54" s="53">
        <f>'RME data'!Q64</f>
        <v>3.1419999999999999</v>
      </c>
      <c r="O54" s="53">
        <f>'RME data'!R64</f>
        <v>3.2789999999999999</v>
      </c>
      <c r="P54" s="53">
        <f>'RME data'!S64</f>
        <v>3.1349999999999998</v>
      </c>
      <c r="Q54" s="53">
        <f>'RME data'!T64</f>
        <v>3.1880000000000002</v>
      </c>
      <c r="R54" s="53">
        <f>'RME data'!U64</f>
        <v>3.4079999999999999</v>
      </c>
      <c r="S54" s="53">
        <f>'RME data'!V64</f>
        <v>3.1539999999999999</v>
      </c>
      <c r="T54" s="53">
        <f>'RME data'!W64</f>
        <v>3.21</v>
      </c>
      <c r="U54" s="53">
        <f>'RME data'!X64</f>
        <v>3.32</v>
      </c>
      <c r="V54" s="53">
        <f>'RME data'!Y64</f>
        <v>3.2250000000000001</v>
      </c>
      <c r="W54" s="53">
        <f>'RME data'!Z64</f>
        <v>3.1859999999999999</v>
      </c>
    </row>
    <row r="55" spans="3:23">
      <c r="C55" s="79" t="s">
        <v>40</v>
      </c>
      <c r="D55" s="53">
        <f>'RME data'!G65</f>
        <v>1.6479999999999999</v>
      </c>
      <c r="E55" s="53">
        <f>'RME data'!H65</f>
        <v>1.7470000000000001</v>
      </c>
      <c r="F55" s="53">
        <f>'RME data'!I65</f>
        <v>1.7849999999999999</v>
      </c>
      <c r="G55" s="53">
        <f>'RME data'!J65</f>
        <v>1.8</v>
      </c>
      <c r="H55" s="53">
        <f>'RME data'!K65</f>
        <v>1.7250000000000001</v>
      </c>
      <c r="I55" s="53">
        <f>'RME data'!L65</f>
        <v>1.75</v>
      </c>
      <c r="J55" s="53">
        <f>'RME data'!M65</f>
        <v>1.895</v>
      </c>
      <c r="K55" s="53">
        <f>'RME data'!N65</f>
        <v>1.8540000000000001</v>
      </c>
      <c r="L55" s="53">
        <f>'RME data'!O65</f>
        <v>1.774</v>
      </c>
      <c r="M55" s="53">
        <f>'RME data'!P65</f>
        <v>1.26</v>
      </c>
      <c r="N55" s="53">
        <f>'RME data'!Q65</f>
        <v>1.49</v>
      </c>
      <c r="O55" s="53">
        <f>'RME data'!R65</f>
        <v>1.4370000000000001</v>
      </c>
      <c r="P55" s="53">
        <f>'RME data'!S65</f>
        <v>1.29</v>
      </c>
      <c r="Q55" s="53">
        <f>'RME data'!T65</f>
        <v>1.347</v>
      </c>
      <c r="R55" s="53">
        <f>'RME data'!U65</f>
        <v>1.3460000000000001</v>
      </c>
      <c r="S55" s="53">
        <f>'RME data'!V65</f>
        <v>1.39</v>
      </c>
      <c r="T55" s="53">
        <f>'RME data'!W65</f>
        <v>1.4039999999999999</v>
      </c>
      <c r="U55" s="53">
        <f>'RME data'!X65</f>
        <v>1.4590000000000001</v>
      </c>
      <c r="V55" s="53">
        <f>'RME data'!Y65</f>
        <v>1.466</v>
      </c>
      <c r="W55" s="53">
        <f>'RME data'!Z65</f>
        <v>1.351</v>
      </c>
    </row>
    <row r="56" spans="3:23">
      <c r="C56" s="79" t="s">
        <v>33</v>
      </c>
      <c r="D56" s="53">
        <f>'RME data'!G66</f>
        <v>7.4409999999999998</v>
      </c>
      <c r="E56" s="53">
        <f>'RME data'!H66</f>
        <v>7.5709999999999997</v>
      </c>
      <c r="F56" s="53">
        <f>'RME data'!I66</f>
        <v>7.569</v>
      </c>
      <c r="G56" s="53">
        <f>'RME data'!J66</f>
        <v>7.819</v>
      </c>
      <c r="H56" s="53">
        <f>'RME data'!K66</f>
        <v>7.9589999999999996</v>
      </c>
      <c r="I56" s="53">
        <f>'RME data'!L66</f>
        <v>8.2560000000000002</v>
      </c>
      <c r="J56" s="53">
        <f>'RME data'!M66</f>
        <v>8.8030000000000008</v>
      </c>
      <c r="K56" s="53">
        <f>'RME data'!N66</f>
        <v>9.2780000000000005</v>
      </c>
      <c r="L56" s="53">
        <f>'RME data'!O66</f>
        <v>8.8859999999999992</v>
      </c>
      <c r="M56" s="53">
        <f>'RME data'!P66</f>
        <v>7.415</v>
      </c>
      <c r="N56" s="53">
        <f>'RME data'!Q66</f>
        <v>6.8979999999999997</v>
      </c>
      <c r="O56" s="53">
        <f>'RME data'!R66</f>
        <v>7.4560000000000004</v>
      </c>
      <c r="P56" s="53">
        <f>'RME data'!S66</f>
        <v>6.5659999999999998</v>
      </c>
      <c r="Q56" s="53">
        <f>'RME data'!T66</f>
        <v>6.1449999999999996</v>
      </c>
      <c r="R56" s="53">
        <f>'RME data'!U66</f>
        <v>6.1420000000000003</v>
      </c>
      <c r="S56" s="53">
        <f>'RME data'!V66</f>
        <v>6.2279999999999998</v>
      </c>
      <c r="T56" s="53">
        <f>'RME data'!W66</f>
        <v>6.2409999999999997</v>
      </c>
      <c r="U56" s="53">
        <f>'RME data'!X66</f>
        <v>6.4059999999999997</v>
      </c>
      <c r="V56" s="53">
        <f>'RME data'!Y66</f>
        <v>6.6909999999999998</v>
      </c>
      <c r="W56" s="53">
        <f>'RME data'!Z66</f>
        <v>6.8559999999999999</v>
      </c>
    </row>
    <row r="57" spans="3:23">
      <c r="C57" s="80" t="s">
        <v>43</v>
      </c>
      <c r="D57" s="162">
        <f>'RME data'!G67</f>
        <v>3.734</v>
      </c>
      <c r="E57" s="162">
        <f>'RME data'!H67</f>
        <v>3.86</v>
      </c>
      <c r="F57" s="162">
        <f>'RME data'!I67</f>
        <v>3.7570000000000001</v>
      </c>
      <c r="G57" s="162">
        <f>'RME data'!J67</f>
        <v>3.8180000000000001</v>
      </c>
      <c r="H57" s="162">
        <f>'RME data'!K67</f>
        <v>3.948</v>
      </c>
      <c r="I57" s="162">
        <f>'RME data'!L67</f>
        <v>3.9780000000000002</v>
      </c>
      <c r="J57" s="162">
        <f>'RME data'!M67</f>
        <v>4.0460000000000003</v>
      </c>
      <c r="K57" s="162">
        <f>'RME data'!N67</f>
        <v>3.8860000000000001</v>
      </c>
      <c r="L57" s="162">
        <f>'RME data'!O67</f>
        <v>3.8980000000000001</v>
      </c>
      <c r="M57" s="162">
        <f>'RME data'!P67</f>
        <v>3.5590000000000002</v>
      </c>
      <c r="N57" s="162">
        <f>'RME data'!Q67</f>
        <v>3.5049999999999999</v>
      </c>
      <c r="O57" s="162">
        <f>'RME data'!R67</f>
        <v>3.4319999999999999</v>
      </c>
      <c r="P57" s="162">
        <f>'RME data'!S67</f>
        <v>3.3319999999999999</v>
      </c>
      <c r="Q57" s="162">
        <f>'RME data'!T67</f>
        <v>3.2839999999999998</v>
      </c>
      <c r="R57" s="162">
        <f>'RME data'!U67</f>
        <v>3.1070000000000002</v>
      </c>
      <c r="S57" s="162">
        <f>'RME data'!V67</f>
        <v>3.1339999999999999</v>
      </c>
      <c r="T57" s="162">
        <f>'RME data'!W67</f>
        <v>2.9780000000000002</v>
      </c>
      <c r="U57" s="162">
        <f>'RME data'!X67</f>
        <v>3.1360000000000001</v>
      </c>
      <c r="V57" s="162">
        <f>'RME data'!Y67</f>
        <v>3.1659999999999999</v>
      </c>
      <c r="W57" s="162">
        <f>'RME data'!Z67</f>
        <v>3.0659999999999998</v>
      </c>
    </row>
    <row r="58" spans="3:23" ht="12">
      <c r="C58" s="81" t="s">
        <v>99</v>
      </c>
      <c r="D58" s="81"/>
      <c r="E58" s="81"/>
    </row>
    <row r="60" spans="3:23">
      <c r="C60" s="50" t="str">
        <f>"DMC, EU-27, 2000-"&amp;Cover!C1</f>
        <v>DMC, EU-27, 2000-2019</v>
      </c>
      <c r="D60" s="50"/>
      <c r="E60" s="50"/>
    </row>
    <row r="61" spans="3:23">
      <c r="C61" s="7" t="s">
        <v>41</v>
      </c>
      <c r="D61" s="7"/>
      <c r="E61" s="7"/>
    </row>
    <row r="62" spans="3:23">
      <c r="C62" s="89"/>
      <c r="D62" s="89">
        <v>2000</v>
      </c>
      <c r="E62" s="89">
        <v>2001</v>
      </c>
      <c r="F62" s="90">
        <v>2002</v>
      </c>
      <c r="G62" s="91">
        <v>2003</v>
      </c>
      <c r="H62" s="90">
        <v>2004</v>
      </c>
      <c r="I62" s="91">
        <v>2005</v>
      </c>
      <c r="J62" s="90">
        <v>2006</v>
      </c>
      <c r="K62" s="91">
        <v>2007</v>
      </c>
      <c r="L62" s="90">
        <v>2008</v>
      </c>
      <c r="M62" s="91">
        <v>2009</v>
      </c>
      <c r="N62" s="90">
        <v>2010</v>
      </c>
      <c r="O62" s="91">
        <v>2011</v>
      </c>
      <c r="P62" s="90">
        <v>2012</v>
      </c>
      <c r="Q62" s="91">
        <v>2013</v>
      </c>
      <c r="R62" s="91">
        <v>2014</v>
      </c>
      <c r="S62" s="91">
        <v>2015</v>
      </c>
      <c r="T62" s="91">
        <v>2016</v>
      </c>
      <c r="U62" s="91">
        <v>2017</v>
      </c>
      <c r="V62" s="91">
        <v>2018</v>
      </c>
      <c r="W62" s="91">
        <v>2019</v>
      </c>
    </row>
    <row r="63" spans="3:23">
      <c r="C63" s="23" t="s">
        <v>72</v>
      </c>
      <c r="D63" s="24">
        <f>'EW-MFA data'!G153</f>
        <v>15.377000000000001</v>
      </c>
      <c r="E63" s="24">
        <f>'EW-MFA data'!H153</f>
        <v>15.414999999999999</v>
      </c>
      <c r="F63" s="24">
        <f>'EW-MFA data'!I153</f>
        <v>15.52</v>
      </c>
      <c r="G63" s="24">
        <f>'EW-MFA data'!J153</f>
        <v>15.617000000000001</v>
      </c>
      <c r="H63" s="24">
        <f>'EW-MFA data'!K153</f>
        <v>16.28</v>
      </c>
      <c r="I63" s="24">
        <f>'EW-MFA data'!L153</f>
        <v>16.356999999999999</v>
      </c>
      <c r="J63" s="24">
        <f>'EW-MFA data'!M153</f>
        <v>16.702999999999999</v>
      </c>
      <c r="K63" s="24">
        <f>'EW-MFA data'!N153</f>
        <v>17.274999999999999</v>
      </c>
      <c r="L63" s="24">
        <f>'EW-MFA data'!O153</f>
        <v>16.890999999999998</v>
      </c>
      <c r="M63" s="24">
        <f>'EW-MFA data'!P153</f>
        <v>14.794</v>
      </c>
      <c r="N63" s="24">
        <f>'EW-MFA data'!Q153</f>
        <v>14.337999999999999</v>
      </c>
      <c r="O63" s="24">
        <f>'EW-MFA data'!R153</f>
        <v>15.122</v>
      </c>
      <c r="P63" s="24">
        <f>'EW-MFA data'!S153</f>
        <v>13.933999999999999</v>
      </c>
      <c r="Q63" s="24">
        <f>'EW-MFA data'!T153</f>
        <v>13.545999999999999</v>
      </c>
      <c r="R63" s="24">
        <f>'EW-MFA data'!U153</f>
        <v>13.65</v>
      </c>
      <c r="S63" s="24">
        <f>'EW-MFA data'!V153</f>
        <v>13.603</v>
      </c>
      <c r="T63" s="24">
        <f>'EW-MFA data'!W153</f>
        <v>13.553000000000001</v>
      </c>
      <c r="U63" s="24">
        <f>'EW-MFA data'!X153</f>
        <v>13.973000000000001</v>
      </c>
      <c r="V63" s="24">
        <f>'EW-MFA data'!Y153</f>
        <v>14.154999999999999</v>
      </c>
      <c r="W63" s="24">
        <f>'EW-MFA data'!Z153</f>
        <v>14.051</v>
      </c>
    </row>
    <row r="64" spans="3:23" ht="12">
      <c r="C64" s="223" t="s">
        <v>100</v>
      </c>
    </row>
    <row r="65" spans="3:26">
      <c r="C65" s="74"/>
      <c r="D65" s="207"/>
      <c r="E65" s="207"/>
      <c r="F65" s="207"/>
      <c r="G65" s="207"/>
      <c r="H65" s="207"/>
      <c r="I65" s="207"/>
      <c r="J65" s="207"/>
      <c r="K65" s="207"/>
      <c r="L65" s="207"/>
      <c r="M65" s="207"/>
      <c r="N65" s="207"/>
      <c r="O65" s="207"/>
      <c r="P65" s="207"/>
      <c r="Q65" s="207"/>
      <c r="R65" s="207"/>
      <c r="S65" s="207"/>
      <c r="U65" s="207"/>
      <c r="V65" s="207"/>
      <c r="W65" s="207"/>
      <c r="X65" s="208"/>
    </row>
    <row r="66" spans="3:26">
      <c r="C66" s="50" t="str">
        <f>"RMC, EU-27, 2000-"&amp;Cover!C1</f>
        <v>RMC, EU-27, 2000-2019</v>
      </c>
      <c r="D66" s="209"/>
      <c r="E66" s="209"/>
      <c r="F66" s="209"/>
      <c r="G66" s="209"/>
      <c r="H66" s="209"/>
      <c r="I66" s="209"/>
      <c r="J66" s="209"/>
      <c r="K66" s="209"/>
      <c r="L66" s="209"/>
      <c r="M66" s="209"/>
      <c r="N66" s="209"/>
      <c r="O66" s="209"/>
      <c r="P66" s="209"/>
      <c r="Q66" s="209"/>
      <c r="R66" s="209"/>
      <c r="S66" s="209"/>
      <c r="U66" s="209"/>
      <c r="V66" s="209"/>
      <c r="W66" s="209"/>
      <c r="X66" s="210"/>
    </row>
    <row r="67" spans="3:26">
      <c r="C67" s="7" t="s">
        <v>41</v>
      </c>
    </row>
    <row r="68" spans="3:26">
      <c r="C68" s="89"/>
      <c r="D68" s="89">
        <v>2000</v>
      </c>
      <c r="E68" s="89">
        <v>2001</v>
      </c>
      <c r="F68" s="90">
        <v>2002</v>
      </c>
      <c r="G68" s="91">
        <v>2003</v>
      </c>
      <c r="H68" s="90">
        <v>2004</v>
      </c>
      <c r="I68" s="91">
        <v>2005</v>
      </c>
      <c r="J68" s="90">
        <v>2006</v>
      </c>
      <c r="K68" s="91">
        <v>2007</v>
      </c>
      <c r="L68" s="90">
        <v>2008</v>
      </c>
      <c r="M68" s="91">
        <v>2009</v>
      </c>
      <c r="N68" s="90">
        <v>2010</v>
      </c>
      <c r="O68" s="91">
        <v>2011</v>
      </c>
      <c r="P68" s="90">
        <v>2012</v>
      </c>
      <c r="Q68" s="91">
        <v>2013</v>
      </c>
      <c r="R68" s="91">
        <v>2014</v>
      </c>
      <c r="S68" s="91">
        <v>2015</v>
      </c>
      <c r="T68" s="91">
        <v>2016</v>
      </c>
      <c r="U68" s="91">
        <v>2017</v>
      </c>
      <c r="V68" s="91">
        <v>2018</v>
      </c>
      <c r="W68" s="91">
        <v>2019</v>
      </c>
    </row>
    <row r="69" spans="3:26">
      <c r="C69" s="23" t="s">
        <v>93</v>
      </c>
      <c r="D69" s="24">
        <f>SUM(D54:D57)</f>
        <v>16.182000000000002</v>
      </c>
      <c r="E69" s="24">
        <f t="shared" ref="E69:T69" si="0">SUM(E54:E57)</f>
        <v>16.527000000000001</v>
      </c>
      <c r="F69" s="24">
        <f t="shared" si="0"/>
        <v>16.452999999999999</v>
      </c>
      <c r="G69" s="24">
        <f t="shared" si="0"/>
        <v>16.52</v>
      </c>
      <c r="H69" s="24">
        <f t="shared" si="0"/>
        <v>17.152000000000001</v>
      </c>
      <c r="I69" s="24">
        <f t="shared" si="0"/>
        <v>17.32</v>
      </c>
      <c r="J69" s="24">
        <f t="shared" si="0"/>
        <v>17.919</v>
      </c>
      <c r="K69" s="24">
        <f t="shared" si="0"/>
        <v>18.306000000000001</v>
      </c>
      <c r="L69" s="24">
        <f t="shared" si="0"/>
        <v>17.88</v>
      </c>
      <c r="M69" s="24">
        <f t="shared" si="0"/>
        <v>15.443000000000001</v>
      </c>
      <c r="N69" s="24">
        <f t="shared" si="0"/>
        <v>15.035</v>
      </c>
      <c r="O69" s="24">
        <f t="shared" si="0"/>
        <v>15.604000000000001</v>
      </c>
      <c r="P69" s="24">
        <f t="shared" si="0"/>
        <v>14.323</v>
      </c>
      <c r="Q69" s="24">
        <f t="shared" si="0"/>
        <v>13.963999999999999</v>
      </c>
      <c r="R69" s="24">
        <f t="shared" si="0"/>
        <v>14.003</v>
      </c>
      <c r="S69" s="24">
        <f t="shared" si="0"/>
        <v>13.905999999999999</v>
      </c>
      <c r="T69" s="24">
        <f t="shared" si="0"/>
        <v>13.833</v>
      </c>
      <c r="U69" s="24">
        <f t="shared" ref="U69:W69" si="1">SUM(U54:U57)</f>
        <v>14.320999999999998</v>
      </c>
      <c r="V69" s="24">
        <f t="shared" si="1"/>
        <v>14.548</v>
      </c>
      <c r="W69" s="24">
        <f t="shared" si="1"/>
        <v>14.459</v>
      </c>
    </row>
    <row r="70" spans="3:26" ht="12">
      <c r="C70" s="261" t="s">
        <v>99</v>
      </c>
    </row>
    <row r="73" spans="3:26">
      <c r="C73" s="50" t="str">
        <f>"Difference RMC and DMC, EU-27, 2000-"&amp;Cover!C1</f>
        <v>Difference RMC and DMC, EU-27, 2000-2019</v>
      </c>
      <c r="D73" s="209"/>
      <c r="E73" s="209"/>
      <c r="F73" s="209"/>
      <c r="G73" s="209"/>
      <c r="H73" s="209"/>
      <c r="I73" s="209"/>
      <c r="J73" s="209"/>
      <c r="K73" s="209"/>
      <c r="L73" s="209"/>
      <c r="M73" s="209"/>
      <c r="N73" s="209"/>
      <c r="O73" s="209"/>
      <c r="P73" s="209"/>
      <c r="Q73" s="209"/>
      <c r="R73" s="209"/>
      <c r="S73" s="209"/>
      <c r="U73" s="209"/>
      <c r="V73" s="209"/>
      <c r="W73" s="209"/>
      <c r="X73" s="210"/>
    </row>
    <row r="74" spans="3:26">
      <c r="C74" s="7" t="s">
        <v>41</v>
      </c>
      <c r="Y74" s="3" t="s">
        <v>318</v>
      </c>
    </row>
    <row r="75" spans="3:26">
      <c r="C75" s="89"/>
      <c r="D75" s="89">
        <v>2000</v>
      </c>
      <c r="E75" s="89">
        <v>2001</v>
      </c>
      <c r="F75" s="90">
        <v>2002</v>
      </c>
      <c r="G75" s="91">
        <v>2003</v>
      </c>
      <c r="H75" s="90">
        <v>2004</v>
      </c>
      <c r="I75" s="91">
        <v>2005</v>
      </c>
      <c r="J75" s="90">
        <v>2006</v>
      </c>
      <c r="K75" s="91">
        <v>2007</v>
      </c>
      <c r="L75" s="90">
        <v>2008</v>
      </c>
      <c r="M75" s="91">
        <v>2009</v>
      </c>
      <c r="N75" s="90">
        <v>2010</v>
      </c>
      <c r="O75" s="91">
        <v>2011</v>
      </c>
      <c r="P75" s="90">
        <v>2012</v>
      </c>
      <c r="Q75" s="91">
        <v>2013</v>
      </c>
      <c r="R75" s="91">
        <v>2014</v>
      </c>
      <c r="S75" s="91">
        <v>2015</v>
      </c>
      <c r="T75" s="91">
        <v>2016</v>
      </c>
      <c r="U75" s="91">
        <v>2017</v>
      </c>
      <c r="V75" s="91">
        <v>2018</v>
      </c>
      <c r="W75" s="91">
        <v>2019</v>
      </c>
      <c r="Y75" s="91" t="s">
        <v>319</v>
      </c>
      <c r="Z75" s="91" t="s">
        <v>320</v>
      </c>
    </row>
    <row r="76" spans="3:26">
      <c r="C76" s="23" t="s">
        <v>317</v>
      </c>
      <c r="D76" s="264">
        <f>D69-D63</f>
        <v>0.80500000000000149</v>
      </c>
      <c r="E76" s="264">
        <f t="shared" ref="E76:T76" si="2">E69-E63</f>
        <v>1.1120000000000019</v>
      </c>
      <c r="F76" s="264">
        <f t="shared" si="2"/>
        <v>0.93299999999999983</v>
      </c>
      <c r="G76" s="264">
        <f t="shared" si="2"/>
        <v>0.90299999999999869</v>
      </c>
      <c r="H76" s="264">
        <f t="shared" si="2"/>
        <v>0.87199999999999989</v>
      </c>
      <c r="I76" s="264">
        <f t="shared" si="2"/>
        <v>0.96300000000000097</v>
      </c>
      <c r="J76" s="264">
        <f t="shared" si="2"/>
        <v>1.2160000000000011</v>
      </c>
      <c r="K76" s="264">
        <f t="shared" si="2"/>
        <v>1.0310000000000024</v>
      </c>
      <c r="L76" s="264">
        <f t="shared" si="2"/>
        <v>0.98900000000000077</v>
      </c>
      <c r="M76" s="264">
        <f t="shared" si="2"/>
        <v>0.64900000000000091</v>
      </c>
      <c r="N76" s="264">
        <f t="shared" si="2"/>
        <v>0.69700000000000095</v>
      </c>
      <c r="O76" s="264">
        <f t="shared" si="2"/>
        <v>0.48200000000000109</v>
      </c>
      <c r="P76" s="264">
        <f t="shared" si="2"/>
        <v>0.38900000000000112</v>
      </c>
      <c r="Q76" s="264">
        <f t="shared" si="2"/>
        <v>0.41799999999999926</v>
      </c>
      <c r="R76" s="264">
        <f t="shared" si="2"/>
        <v>0.35299999999999976</v>
      </c>
      <c r="S76" s="264">
        <f t="shared" si="2"/>
        <v>0.30299999999999905</v>
      </c>
      <c r="T76" s="264">
        <f t="shared" si="2"/>
        <v>0.27999999999999936</v>
      </c>
      <c r="U76" s="264">
        <f t="shared" ref="U76:W76" si="3">U69-U63</f>
        <v>0.3479999999999972</v>
      </c>
      <c r="V76" s="264">
        <f t="shared" si="3"/>
        <v>0.39300000000000068</v>
      </c>
      <c r="W76" s="264">
        <f t="shared" si="3"/>
        <v>0.40799999999999947</v>
      </c>
      <c r="Y76" s="264">
        <f>MIN(D76:W76)</f>
        <v>0.27999999999999936</v>
      </c>
      <c r="Z76" s="264">
        <f>MAX(D76:W76)</f>
        <v>1.2160000000000011</v>
      </c>
    </row>
    <row r="77" spans="3:26" ht="12">
      <c r="C77" s="261"/>
    </row>
  </sheetData>
  <mergeCells count="1">
    <mergeCell ref="C46:L46"/>
  </mergeCells>
  <pageMargins left="0.7" right="0.7" top="0.78740157499999996" bottom="0.78740157499999996" header="0.3" footer="0.3"/>
  <pageSetup paperSize="9"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fitToPage="1"/>
  </sheetPr>
  <dimension ref="A1:H62"/>
  <sheetViews>
    <sheetView showGridLines="0" zoomScaleNormal="100" workbookViewId="0"/>
  </sheetViews>
  <sheetFormatPr defaultRowHeight="12" customHeight="1"/>
  <cols>
    <col min="1" max="1" width="4.26953125" customWidth="1"/>
    <col min="2" max="2" width="5.26953125" customWidth="1"/>
    <col min="3" max="3" width="43.1796875" customWidth="1"/>
    <col min="4" max="4" width="12.54296875" customWidth="1"/>
    <col min="5" max="5" width="12.453125" bestFit="1" customWidth="1"/>
    <col min="6" max="6" width="2.26953125" customWidth="1"/>
    <col min="7" max="7" width="15.7265625" customWidth="1"/>
    <col min="8" max="8" width="16.1796875" customWidth="1"/>
  </cols>
  <sheetData>
    <row r="1" spans="1:1" ht="15.5">
      <c r="A1" s="222" t="str">
        <f>"Raw material consumption (RMC) as result of final consumption expenditure and gross capital formation, by type of material, EU-27, "&amp;Cover!C1</f>
        <v>Raw material consumption (RMC) as result of final consumption expenditure and gross capital formation, by type of material, EU-27, 2019</v>
      </c>
    </row>
    <row r="2" spans="1:1" ht="14.5"/>
    <row r="45" spans="3:8" ht="12" customHeight="1">
      <c r="C45" s="226"/>
      <c r="D45" s="226"/>
      <c r="E45" s="226"/>
      <c r="F45" s="226"/>
      <c r="G45" s="226"/>
      <c r="H45" s="226"/>
    </row>
    <row r="46" spans="3:8" ht="12" customHeight="1">
      <c r="C46" s="226"/>
      <c r="D46" s="226"/>
      <c r="E46" s="226"/>
      <c r="F46" s="226"/>
      <c r="G46" s="226"/>
      <c r="H46" s="226"/>
    </row>
    <row r="47" spans="3:8" ht="12" customHeight="1">
      <c r="C47" s="286" t="s">
        <v>264</v>
      </c>
      <c r="D47" s="286"/>
      <c r="E47" s="286"/>
      <c r="F47" s="286"/>
      <c r="G47" s="286"/>
      <c r="H47" s="286"/>
    </row>
    <row r="48" spans="3:8" ht="12" customHeight="1">
      <c r="C48" s="226"/>
      <c r="D48" s="226"/>
      <c r="E48" s="226"/>
      <c r="F48" s="226"/>
      <c r="G48" s="226"/>
      <c r="H48" s="226"/>
    </row>
    <row r="49" spans="3:8" ht="12" customHeight="1">
      <c r="C49" s="144"/>
      <c r="D49" s="144"/>
      <c r="E49" s="144"/>
      <c r="F49" s="144"/>
      <c r="G49" s="144"/>
      <c r="H49" s="144"/>
    </row>
    <row r="51" spans="3:8" ht="12" customHeight="1">
      <c r="C51" s="35" t="str">
        <f>"Raw material consumption as result of final consumption expenditure and gross capital formation, by type of material, EU-27, "&amp;Cover!C1</f>
        <v>Raw material consumption as result of final consumption expenditure and gross capital formation, by type of material, EU-27, 2019</v>
      </c>
    </row>
    <row r="52" spans="3:8" ht="12" customHeight="1">
      <c r="C52" s="3" t="s">
        <v>41</v>
      </c>
      <c r="D52" s="3"/>
    </row>
    <row r="53" spans="3:8" ht="36" customHeight="1">
      <c r="C53" s="182" t="s">
        <v>263</v>
      </c>
      <c r="D53" s="183" t="s">
        <v>93</v>
      </c>
      <c r="E53" s="183" t="s">
        <v>262</v>
      </c>
      <c r="F53" s="194"/>
      <c r="G53" s="183" t="s">
        <v>259</v>
      </c>
      <c r="H53" s="183" t="s">
        <v>260</v>
      </c>
    </row>
    <row r="54" spans="3:8" ht="12" customHeight="1">
      <c r="C54" s="184" t="s">
        <v>31</v>
      </c>
      <c r="D54" s="107">
        <f>'RME detailed data'!E93</f>
        <v>3.1859999999999999</v>
      </c>
      <c r="E54" s="188">
        <f>D54/$D$58</f>
        <v>0.22036242910499376</v>
      </c>
      <c r="F54" s="195"/>
      <c r="G54" s="191">
        <f>'RME detailed data'!F93</f>
        <v>2.5779999999999998</v>
      </c>
      <c r="H54" s="191">
        <f>'RME detailed data'!G93</f>
        <v>0.60799999999999998</v>
      </c>
    </row>
    <row r="55" spans="3:8" ht="12" customHeight="1">
      <c r="C55" s="184" t="s">
        <v>40</v>
      </c>
      <c r="D55" s="107">
        <f>'RME detailed data'!E168</f>
        <v>1.351</v>
      </c>
      <c r="E55" s="188">
        <f t="shared" ref="E55:E58" si="0">D55/$D$58</f>
        <v>9.3443076497440866E-2</v>
      </c>
      <c r="F55" s="195"/>
      <c r="G55" s="191">
        <f>'RME detailed data'!F168</f>
        <v>0.71799999999999997</v>
      </c>
      <c r="H55" s="191">
        <f>'RME detailed data'!G168</f>
        <v>0.63300000000000001</v>
      </c>
    </row>
    <row r="56" spans="3:8" ht="12" customHeight="1">
      <c r="C56" s="184" t="s">
        <v>33</v>
      </c>
      <c r="D56" s="107">
        <f>'RME detailed data'!E243</f>
        <v>6.8559999999999999</v>
      </c>
      <c r="E56" s="188">
        <f t="shared" si="0"/>
        <v>0.47420113432009958</v>
      </c>
      <c r="F56" s="195"/>
      <c r="G56" s="191">
        <f>'RME detailed data'!F243</f>
        <v>2.613</v>
      </c>
      <c r="H56" s="191">
        <f>'RME detailed data'!G243</f>
        <v>4.242</v>
      </c>
    </row>
    <row r="57" spans="3:8" ht="12" customHeight="1">
      <c r="C57" s="185" t="s">
        <v>43</v>
      </c>
      <c r="D57" s="112">
        <f>'RME detailed data'!E318</f>
        <v>3.0659999999999998</v>
      </c>
      <c r="E57" s="189">
        <f t="shared" si="0"/>
        <v>0.21206252593719738</v>
      </c>
      <c r="F57" s="195"/>
      <c r="G57" s="192">
        <f>'RME detailed data'!F318</f>
        <v>2.4159999999999999</v>
      </c>
      <c r="H57" s="192">
        <f>'RME detailed data'!G318</f>
        <v>0.64900000000000002</v>
      </c>
    </row>
    <row r="58" spans="3:8" ht="12" customHeight="1">
      <c r="C58" s="186" t="s">
        <v>14</v>
      </c>
      <c r="D58" s="187">
        <f>'RME detailed data'!E18</f>
        <v>14.458</v>
      </c>
      <c r="E58" s="190">
        <f t="shared" si="0"/>
        <v>1</v>
      </c>
      <c r="F58" s="195"/>
      <c r="G58" s="193">
        <f>'RME detailed data'!F18</f>
        <v>8.3260000000000005</v>
      </c>
      <c r="H58" s="193">
        <f>'RME detailed data'!G18</f>
        <v>6.133</v>
      </c>
    </row>
    <row r="60" spans="3:8" ht="12" customHeight="1">
      <c r="E60" s="274" t="s">
        <v>262</v>
      </c>
      <c r="G60" s="265">
        <f>G58/D58</f>
        <v>0.57587494812560525</v>
      </c>
      <c r="H60" s="265">
        <f>H58/D58</f>
        <v>0.42419421773412641</v>
      </c>
    </row>
    <row r="62" spans="3:8" ht="12" customHeight="1">
      <c r="D62" s="221"/>
    </row>
  </sheetData>
  <mergeCells count="1">
    <mergeCell ref="C47:H47"/>
  </mergeCells>
  <pageMargins left="0.7" right="0.7" top="0.75" bottom="0.75" header="0.3" footer="0.3"/>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fitToPage="1"/>
  </sheetPr>
  <dimension ref="A1:H44"/>
  <sheetViews>
    <sheetView showGridLines="0" zoomScaleNormal="100" workbookViewId="0">
      <selection activeCell="D39" sqref="D39:G39"/>
    </sheetView>
  </sheetViews>
  <sheetFormatPr defaultRowHeight="12" customHeight="1"/>
  <cols>
    <col min="1" max="1" width="4.26953125" customWidth="1"/>
    <col min="2" max="2" width="5.26953125" customWidth="1"/>
    <col min="3" max="3" width="14.1796875" customWidth="1"/>
    <col min="4" max="4" width="72.81640625" customWidth="1"/>
    <col min="5" max="5" width="15.7265625" customWidth="1"/>
    <col min="6" max="6" width="18.26953125" customWidth="1"/>
    <col min="7" max="7" width="19" customWidth="1"/>
  </cols>
  <sheetData>
    <row r="1" spans="1:8" ht="15.5">
      <c r="A1" s="253" t="str">
        <f>"Products with highest raw material consumption (RMC) by type of material, EU-27, "&amp;Cover!C1</f>
        <v>Products with highest raw material consumption (RMC) by type of material, EU-27, 2019</v>
      </c>
    </row>
    <row r="4" spans="1:8" ht="20">
      <c r="C4" s="227" t="s">
        <v>336</v>
      </c>
    </row>
    <row r="5" spans="1:8" ht="15.5">
      <c r="C5" s="228" t="s">
        <v>41</v>
      </c>
    </row>
    <row r="6" spans="1:8" ht="36" customHeight="1">
      <c r="C6" s="230" t="s">
        <v>263</v>
      </c>
      <c r="D6" s="231" t="s">
        <v>267</v>
      </c>
      <c r="E6" s="232" t="s">
        <v>93</v>
      </c>
      <c r="F6" s="232" t="s">
        <v>259</v>
      </c>
      <c r="G6" s="233" t="s">
        <v>260</v>
      </c>
      <c r="H6" s="1"/>
    </row>
    <row r="7" spans="1:8" ht="12" customHeight="1">
      <c r="C7" s="291" t="s">
        <v>261</v>
      </c>
      <c r="D7" s="234" t="str">
        <f>'RME detailed data'!L18</f>
        <v>Total CPA products</v>
      </c>
      <c r="E7" s="235">
        <f>'RME detailed data'!M18</f>
        <v>14.458</v>
      </c>
      <c r="F7" s="235">
        <f>'RME detailed data'!N18</f>
        <v>8.3260000000000005</v>
      </c>
      <c r="G7" s="235">
        <f>'RME detailed data'!O18</f>
        <v>6.133</v>
      </c>
      <c r="H7" s="1"/>
    </row>
    <row r="8" spans="1:8" ht="12" customHeight="1">
      <c r="C8" s="292"/>
      <c r="D8" s="236" t="str">
        <f>'RME detailed data'!L19</f>
        <v>Constructions and construction works</v>
      </c>
      <c r="E8" s="237">
        <f>'RME detailed data'!M19</f>
        <v>4.4980000000000002</v>
      </c>
      <c r="F8" s="237">
        <f>'RME detailed data'!N19</f>
        <v>0.215</v>
      </c>
      <c r="G8" s="237">
        <f>'RME detailed data'!O19</f>
        <v>4.2830000000000004</v>
      </c>
      <c r="H8" s="1"/>
    </row>
    <row r="9" spans="1:8" ht="12" customHeight="1">
      <c r="C9" s="292"/>
      <c r="D9" s="238" t="str">
        <f>'RME detailed data'!L20</f>
        <v>Food, beverages and tobacco products</v>
      </c>
      <c r="E9" s="239">
        <f>'RME detailed data'!M20</f>
        <v>1.5229999999999999</v>
      </c>
      <c r="F9" s="239">
        <f>'RME detailed data'!N20</f>
        <v>1.4650000000000001</v>
      </c>
      <c r="G9" s="239">
        <f>'RME detailed data'!O20</f>
        <v>5.7000000000000002E-2</v>
      </c>
      <c r="H9" s="1"/>
    </row>
    <row r="10" spans="1:8" ht="12" customHeight="1">
      <c r="C10" s="292"/>
      <c r="D10" s="238" t="str">
        <f>'RME detailed data'!L21</f>
        <v>Products of agriculture, hunting and related services</v>
      </c>
      <c r="E10" s="239">
        <f>'RME detailed data'!M21</f>
        <v>0.71299999999999997</v>
      </c>
      <c r="F10" s="239">
        <f>'RME detailed data'!N21</f>
        <v>0.54900000000000004</v>
      </c>
      <c r="G10" s="239">
        <f>'RME detailed data'!O21</f>
        <v>0.16400000000000001</v>
      </c>
      <c r="H10" s="1"/>
    </row>
    <row r="11" spans="1:8" ht="12" customHeight="1">
      <c r="C11" s="292"/>
      <c r="D11" s="238" t="str">
        <f>'RME detailed data'!L22</f>
        <v>Coke and refined petroleum products</v>
      </c>
      <c r="E11" s="239">
        <f>'RME detailed data'!M22</f>
        <v>0.52600000000000002</v>
      </c>
      <c r="F11" s="239">
        <f>'RME detailed data'!N22</f>
        <v>0.51</v>
      </c>
      <c r="G11" s="239">
        <f>'RME detailed data'!O22</f>
        <v>1.6E-2</v>
      </c>
      <c r="H11" s="1"/>
    </row>
    <row r="12" spans="1:8" ht="12" customHeight="1">
      <c r="C12" s="292"/>
      <c r="D12" s="240" t="str">
        <f>'RME detailed data'!L23</f>
        <v>Real estate services</v>
      </c>
      <c r="E12" s="241">
        <f>'RME detailed data'!M23</f>
        <v>0.51900000000000002</v>
      </c>
      <c r="F12" s="241">
        <f>'RME detailed data'!N23</f>
        <v>0.50600000000000001</v>
      </c>
      <c r="G12" s="241">
        <f>'RME detailed data'!O23</f>
        <v>1.2999999999999999E-2</v>
      </c>
      <c r="H12" s="1"/>
    </row>
    <row r="13" spans="1:8" ht="12" customHeight="1">
      <c r="C13" s="242"/>
      <c r="D13" s="243"/>
      <c r="E13" s="244"/>
      <c r="F13" s="244"/>
      <c r="G13" s="244"/>
      <c r="H13" s="1"/>
    </row>
    <row r="14" spans="1:8" ht="12" customHeight="1">
      <c r="C14" s="291" t="s">
        <v>31</v>
      </c>
      <c r="D14" s="245" t="str">
        <f>'RME detailed data'!L93</f>
        <v>Total CPA products</v>
      </c>
      <c r="E14" s="246">
        <f>'RME detailed data'!M93</f>
        <v>3.1859999999999999</v>
      </c>
      <c r="F14" s="246">
        <f>'RME detailed data'!N93</f>
        <v>2.5779999999999998</v>
      </c>
      <c r="G14" s="246">
        <f>'RME detailed data'!O93</f>
        <v>0.60799999999999998</v>
      </c>
      <c r="H14" s="173"/>
    </row>
    <row r="15" spans="1:8" ht="12" customHeight="1">
      <c r="C15" s="292"/>
      <c r="D15" s="236" t="str">
        <f>'RME detailed data'!L94</f>
        <v>Food, beverages and tobacco products</v>
      </c>
      <c r="E15" s="237">
        <f>'RME detailed data'!M94</f>
        <v>1.0349999999999999</v>
      </c>
      <c r="F15" s="237">
        <f>'RME detailed data'!N94</f>
        <v>0.99399999999999999</v>
      </c>
      <c r="G15" s="237">
        <f>'RME detailed data'!O94</f>
        <v>0.04</v>
      </c>
      <c r="H15" s="173"/>
    </row>
    <row r="16" spans="1:8" ht="12" customHeight="1">
      <c r="C16" s="292"/>
      <c r="D16" s="238" t="str">
        <f>'RME detailed data'!L95</f>
        <v>Products of agriculture, hunting and related services</v>
      </c>
      <c r="E16" s="239">
        <f>'RME detailed data'!M95</f>
        <v>0.63600000000000001</v>
      </c>
      <c r="F16" s="239">
        <f>'RME detailed data'!N95</f>
        <v>0.48899999999999999</v>
      </c>
      <c r="G16" s="239">
        <f>'RME detailed data'!O95</f>
        <v>0.14699999999999999</v>
      </c>
      <c r="H16" s="173"/>
    </row>
    <row r="17" spans="3:8" ht="12" customHeight="1">
      <c r="C17" s="292"/>
      <c r="D17" s="238" t="str">
        <f>'RME detailed data'!L96</f>
        <v>Accommodation and food services</v>
      </c>
      <c r="E17" s="239">
        <f>'RME detailed data'!M96</f>
        <v>0.23699999999999999</v>
      </c>
      <c r="F17" s="239">
        <f>'RME detailed data'!N96</f>
        <v>0.23699999999999999</v>
      </c>
      <c r="G17" s="239">
        <f>'RME detailed data'!O96</f>
        <v>0</v>
      </c>
      <c r="H17" s="173"/>
    </row>
    <row r="18" spans="3:8" ht="12" customHeight="1">
      <c r="C18" s="292"/>
      <c r="D18" s="238" t="str">
        <f>'RME detailed data'!L97</f>
        <v>Products of forestry, logging and related services</v>
      </c>
      <c r="E18" s="239">
        <f>'RME detailed data'!M97</f>
        <v>0.223</v>
      </c>
      <c r="F18" s="239">
        <f>'RME detailed data'!N97</f>
        <v>0.125</v>
      </c>
      <c r="G18" s="239">
        <f>'RME detailed data'!O97</f>
        <v>9.7000000000000003E-2</v>
      </c>
      <c r="H18" s="173"/>
    </row>
    <row r="19" spans="3:8" ht="12" customHeight="1">
      <c r="C19" s="292"/>
      <c r="D19" s="240" t="str">
        <f>'RME detailed data'!L98</f>
        <v>Constructions and construction works</v>
      </c>
      <c r="E19" s="241">
        <f>'RME detailed data'!M98</f>
        <v>0.14000000000000001</v>
      </c>
      <c r="F19" s="241">
        <f>'RME detailed data'!N98</f>
        <v>7.0000000000000001E-3</v>
      </c>
      <c r="G19" s="241">
        <f>'RME detailed data'!O98</f>
        <v>0.13400000000000001</v>
      </c>
      <c r="H19" s="173"/>
    </row>
    <row r="20" spans="3:8" ht="12" customHeight="1">
      <c r="C20" s="242"/>
      <c r="D20" s="243"/>
      <c r="E20" s="244"/>
      <c r="F20" s="244"/>
      <c r="G20" s="244"/>
      <c r="H20" s="173"/>
    </row>
    <row r="21" spans="3:8" ht="12" customHeight="1">
      <c r="C21" s="291" t="s">
        <v>40</v>
      </c>
      <c r="D21" s="247" t="str">
        <f>'RME detailed data'!L168</f>
        <v>Total CPA products</v>
      </c>
      <c r="E21" s="235">
        <f>'RME detailed data'!M168</f>
        <v>1.351</v>
      </c>
      <c r="F21" s="235">
        <f>'RME detailed data'!N168</f>
        <v>0.71799999999999997</v>
      </c>
      <c r="G21" s="235">
        <f>'RME detailed data'!O168</f>
        <v>0.63300000000000001</v>
      </c>
      <c r="H21" s="173"/>
    </row>
    <row r="22" spans="3:8" ht="12" customHeight="1">
      <c r="C22" s="292"/>
      <c r="D22" s="236" t="str">
        <f>'RME detailed data'!L169</f>
        <v>Constructions and construction works</v>
      </c>
      <c r="E22" s="237">
        <f>'RME detailed data'!M169</f>
        <v>0.219</v>
      </c>
      <c r="F22" s="237">
        <f>'RME detailed data'!N169</f>
        <v>0.01</v>
      </c>
      <c r="G22" s="237">
        <f>'RME detailed data'!O169</f>
        <v>0.20899999999999999</v>
      </c>
      <c r="H22" s="173"/>
    </row>
    <row r="23" spans="3:8" ht="12" customHeight="1">
      <c r="C23" s="292"/>
      <c r="D23" s="238" t="str">
        <f>'RME detailed data'!L170</f>
        <v>Motor vehicles, trailers and semi-trailers</v>
      </c>
      <c r="E23" s="237">
        <f>'RME detailed data'!M170</f>
        <v>0.11899999999999999</v>
      </c>
      <c r="F23" s="237">
        <f>'RME detailed data'!N170</f>
        <v>5.8999999999999997E-2</v>
      </c>
      <c r="G23" s="237">
        <f>'RME detailed data'!O170</f>
        <v>0.06</v>
      </c>
      <c r="H23" s="173"/>
    </row>
    <row r="24" spans="3:8" ht="12" customHeight="1">
      <c r="C24" s="292"/>
      <c r="D24" s="238" t="str">
        <f>'RME detailed data'!L171</f>
        <v>Furniture and other manufactured goods</v>
      </c>
      <c r="E24" s="237">
        <f>'RME detailed data'!M171</f>
        <v>7.5999999999999998E-2</v>
      </c>
      <c r="F24" s="237">
        <f>'RME detailed data'!N171</f>
        <v>4.9000000000000002E-2</v>
      </c>
      <c r="G24" s="237">
        <f>'RME detailed data'!O171</f>
        <v>2.8000000000000001E-2</v>
      </c>
      <c r="H24" s="173"/>
    </row>
    <row r="25" spans="3:8" ht="12" customHeight="1">
      <c r="C25" s="292"/>
      <c r="D25" s="238" t="str">
        <f>'RME detailed data'!L172</f>
        <v>Machinery and equipment n.e.c.</v>
      </c>
      <c r="E25" s="237">
        <f>'RME detailed data'!M172</f>
        <v>7.2999999999999995E-2</v>
      </c>
      <c r="F25" s="237">
        <f>'RME detailed data'!N172</f>
        <v>2E-3</v>
      </c>
      <c r="G25" s="237">
        <f>'RME detailed data'!O172</f>
        <v>7.0999999999999994E-2</v>
      </c>
      <c r="H25" s="173"/>
    </row>
    <row r="26" spans="3:8" ht="12" customHeight="1">
      <c r="C26" s="292"/>
      <c r="D26" s="248" t="str">
        <f>'RME detailed data'!L173</f>
        <v>Real estate services</v>
      </c>
      <c r="E26" s="249">
        <f>'RME detailed data'!M173</f>
        <v>6.7000000000000004E-2</v>
      </c>
      <c r="F26" s="249">
        <f>'RME detailed data'!N173</f>
        <v>6.5000000000000002E-2</v>
      </c>
      <c r="G26" s="249">
        <f>'RME detailed data'!O173</f>
        <v>2E-3</v>
      </c>
      <c r="H26" s="173"/>
    </row>
    <row r="27" spans="3:8" ht="12" customHeight="1">
      <c r="C27" s="242"/>
      <c r="D27" s="243"/>
      <c r="E27" s="244"/>
      <c r="F27" s="244"/>
      <c r="G27" s="244"/>
      <c r="H27" s="173"/>
    </row>
    <row r="28" spans="3:8" ht="12" customHeight="1">
      <c r="C28" s="293" t="s">
        <v>33</v>
      </c>
      <c r="D28" s="247" t="str">
        <f>'RME detailed data'!L243</f>
        <v>Total CPA products</v>
      </c>
      <c r="E28" s="235">
        <f>'RME detailed data'!M243</f>
        <v>6.8559999999999999</v>
      </c>
      <c r="F28" s="235">
        <f>'RME detailed data'!N243</f>
        <v>2.613</v>
      </c>
      <c r="G28" s="235">
        <f>'RME detailed data'!O243</f>
        <v>4.242</v>
      </c>
      <c r="H28" s="173"/>
    </row>
    <row r="29" spans="3:8" ht="12" customHeight="1">
      <c r="C29" s="294"/>
      <c r="D29" s="236" t="str">
        <f>'RME detailed data'!L244</f>
        <v>Constructions and construction works</v>
      </c>
      <c r="E29" s="237">
        <f>'RME detailed data'!M244</f>
        <v>3.9220000000000002</v>
      </c>
      <c r="F29" s="237">
        <f>'RME detailed data'!N244</f>
        <v>0.187</v>
      </c>
      <c r="G29" s="237">
        <f>'RME detailed data'!O244</f>
        <v>3.7349999999999999</v>
      </c>
      <c r="H29" s="173"/>
    </row>
    <row r="30" spans="3:8" ht="12" customHeight="1">
      <c r="C30" s="294"/>
      <c r="D30" s="238" t="str">
        <f>'RME detailed data'!L245</f>
        <v>Public administration and defence services; compulsory social security services</v>
      </c>
      <c r="E30" s="239">
        <f>'RME detailed data'!M245</f>
        <v>0.376</v>
      </c>
      <c r="F30" s="239">
        <f>'RME detailed data'!N245</f>
        <v>0.374</v>
      </c>
      <c r="G30" s="239">
        <f>'RME detailed data'!O245</f>
        <v>2E-3</v>
      </c>
      <c r="H30" s="173"/>
    </row>
    <row r="31" spans="3:8" ht="12" customHeight="1">
      <c r="C31" s="294"/>
      <c r="D31" s="238" t="str">
        <f>'RME detailed data'!L246</f>
        <v>Real estate services</v>
      </c>
      <c r="E31" s="239">
        <f>'RME detailed data'!M246</f>
        <v>0.32900000000000001</v>
      </c>
      <c r="F31" s="239">
        <f>'RME detailed data'!N246</f>
        <v>0.32100000000000001</v>
      </c>
      <c r="G31" s="239">
        <f>'RME detailed data'!O246</f>
        <v>8.0000000000000002E-3</v>
      </c>
      <c r="H31" s="173"/>
    </row>
    <row r="32" spans="3:8" ht="12" customHeight="1">
      <c r="C32" s="294"/>
      <c r="D32" s="238" t="str">
        <f>'RME detailed data'!L247</f>
        <v>Food, beverages and tobacco products</v>
      </c>
      <c r="E32" s="239">
        <f>'RME detailed data'!M247</f>
        <v>0.24399999999999999</v>
      </c>
      <c r="F32" s="239">
        <f>'RME detailed data'!N247</f>
        <v>0.23499999999999999</v>
      </c>
      <c r="G32" s="239">
        <f>'RME detailed data'!O247</f>
        <v>8.9999999999999993E-3</v>
      </c>
      <c r="H32" s="173"/>
    </row>
    <row r="33" spans="3:8" ht="12" customHeight="1">
      <c r="C33" s="294"/>
      <c r="D33" s="240" t="str">
        <f>'RME detailed data'!L248</f>
        <v>Other non-metallic mineral products</v>
      </c>
      <c r="E33" s="241">
        <f>'RME detailed data'!M248</f>
        <v>0.17599999999999999</v>
      </c>
      <c r="F33" s="241">
        <f>'RME detailed data'!N248</f>
        <v>0.151</v>
      </c>
      <c r="G33" s="241">
        <f>'RME detailed data'!O248</f>
        <v>2.5000000000000001E-2</v>
      </c>
      <c r="H33" s="173"/>
    </row>
    <row r="34" spans="3:8" ht="12" customHeight="1">
      <c r="C34" s="250"/>
      <c r="D34" s="243"/>
      <c r="E34" s="244"/>
      <c r="F34" s="244"/>
      <c r="G34" s="244"/>
      <c r="H34" s="173"/>
    </row>
    <row r="35" spans="3:8" ht="12" customHeight="1">
      <c r="C35" s="293" t="s">
        <v>43</v>
      </c>
      <c r="D35" s="247" t="str">
        <f>'RME detailed data'!L318</f>
        <v>Total CPA products</v>
      </c>
      <c r="E35" s="235">
        <f>'RME detailed data'!M318</f>
        <v>3.0659999999999998</v>
      </c>
      <c r="F35" s="235">
        <f>'RME detailed data'!N318</f>
        <v>2.4159999999999999</v>
      </c>
      <c r="G35" s="235">
        <f>'RME detailed data'!O318</f>
        <v>0.64900000000000002</v>
      </c>
      <c r="H35" s="173"/>
    </row>
    <row r="36" spans="3:8" ht="12" customHeight="1">
      <c r="C36" s="294"/>
      <c r="D36" s="236" t="str">
        <f>'RME detailed data'!L319</f>
        <v>Coke and refined petroleum products</v>
      </c>
      <c r="E36" s="237">
        <f>'RME detailed data'!M319</f>
        <v>0.47499999999999998</v>
      </c>
      <c r="F36" s="237">
        <f>'RME detailed data'!N319</f>
        <v>0.46100000000000002</v>
      </c>
      <c r="G36" s="237">
        <f>'RME detailed data'!O319</f>
        <v>1.4E-2</v>
      </c>
      <c r="H36" s="173"/>
    </row>
    <row r="37" spans="3:8" ht="12" customHeight="1">
      <c r="C37" s="294"/>
      <c r="D37" s="238" t="str">
        <f>'RME detailed data'!L320</f>
        <v>Electricity, gas, steam and air conditioning</v>
      </c>
      <c r="E37" s="239">
        <f>'RME detailed data'!M320</f>
        <v>0.40699999999999997</v>
      </c>
      <c r="F37" s="239">
        <f>'RME detailed data'!N320</f>
        <v>0.40799999999999997</v>
      </c>
      <c r="G37" s="239">
        <f>'RME detailed data'!O320</f>
        <v>0</v>
      </c>
      <c r="H37" s="173"/>
    </row>
    <row r="38" spans="3:8" ht="12" customHeight="1">
      <c r="C38" s="294"/>
      <c r="D38" s="238" t="str">
        <f>'RME detailed data'!L321</f>
        <v>Mining and quarrying</v>
      </c>
      <c r="E38" s="239">
        <f>'RME detailed data'!M321</f>
        <v>0.29899999999999999</v>
      </c>
      <c r="F38" s="239">
        <f>'RME detailed data'!N321</f>
        <v>0.23300000000000001</v>
      </c>
      <c r="G38" s="239">
        <f>'RME detailed data'!O321</f>
        <v>6.6000000000000003E-2</v>
      </c>
      <c r="H38" s="173"/>
    </row>
    <row r="39" spans="3:8" ht="12" customHeight="1">
      <c r="C39" s="294"/>
      <c r="D39" s="238" t="str">
        <f>'RME detailed data'!L322</f>
        <v>Constructions and construction works</v>
      </c>
      <c r="E39" s="239">
        <f>'RME detailed data'!M322</f>
        <v>0.216</v>
      </c>
      <c r="F39" s="239">
        <f>'RME detailed data'!N322</f>
        <v>0.01</v>
      </c>
      <c r="G39" s="239">
        <f>'RME detailed data'!O322</f>
        <v>0.20599999999999999</v>
      </c>
      <c r="H39" s="173"/>
    </row>
    <row r="40" spans="3:8" ht="12" customHeight="1">
      <c r="C40" s="295"/>
      <c r="D40" s="251" t="str">
        <f>'RME detailed data'!L323</f>
        <v>Food, beverages and tobacco products</v>
      </c>
      <c r="E40" s="252">
        <f>'RME detailed data'!M323</f>
        <v>0.19500000000000001</v>
      </c>
      <c r="F40" s="252">
        <f>'RME detailed data'!N323</f>
        <v>0.188</v>
      </c>
      <c r="G40" s="252">
        <f>'RME detailed data'!O323</f>
        <v>7.0000000000000001E-3</v>
      </c>
      <c r="H40" s="173"/>
    </row>
    <row r="41" spans="3:8" ht="15.5">
      <c r="C41" s="229" t="s">
        <v>301</v>
      </c>
      <c r="D41" s="212"/>
      <c r="E41" s="212"/>
      <c r="F41" s="212"/>
      <c r="G41" s="212"/>
      <c r="H41" s="212"/>
    </row>
    <row r="44" spans="3:8" ht="12" customHeight="1">
      <c r="C44" s="213"/>
      <c r="E44" s="3"/>
    </row>
  </sheetData>
  <mergeCells count="5">
    <mergeCell ref="C7:C12"/>
    <mergeCell ref="C14:C19"/>
    <mergeCell ref="C21:C26"/>
    <mergeCell ref="C28:C33"/>
    <mergeCell ref="C35:C40"/>
  </mergeCells>
  <pageMargins left="0.7" right="0.7" top="0.75" bottom="0.75" header="0.3" footer="0.3"/>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156"/>
  <sheetViews>
    <sheetView showGridLines="0" workbookViewId="0"/>
  </sheetViews>
  <sheetFormatPr defaultColWidth="8.81640625" defaultRowHeight="11.5"/>
  <cols>
    <col min="1" max="2" width="4.7265625" style="3" customWidth="1"/>
    <col min="3" max="3" width="10.54296875" style="3" customWidth="1"/>
    <col min="4" max="4" width="35.81640625" style="3" customWidth="1"/>
    <col min="5" max="5" width="11.1796875" style="3" customWidth="1"/>
    <col min="6" max="6" width="30.1796875" style="3" bestFit="1" customWidth="1"/>
    <col min="7" max="26" width="9.81640625" style="3" customWidth="1"/>
    <col min="27" max="16384" width="8.81640625" style="3"/>
  </cols>
  <sheetData>
    <row r="1" spans="1:27" ht="15.5">
      <c r="A1" s="222" t="s">
        <v>47</v>
      </c>
      <c r="N1" s="211"/>
      <c r="O1"/>
      <c r="P1"/>
      <c r="Q1" s="211"/>
      <c r="R1"/>
      <c r="S1"/>
      <c r="V1" s="211"/>
      <c r="W1" s="211"/>
      <c r="X1" s="211"/>
      <c r="Y1" s="211"/>
      <c r="Z1" s="211"/>
    </row>
    <row r="2" spans="1:27" ht="12" thickBot="1"/>
    <row r="3" spans="1:27">
      <c r="B3" s="116" t="s">
        <v>51</v>
      </c>
      <c r="C3" s="19"/>
      <c r="D3" s="19"/>
      <c r="E3" s="19"/>
      <c r="F3" s="19" t="s">
        <v>97</v>
      </c>
      <c r="G3" s="117" t="s">
        <v>334</v>
      </c>
      <c r="H3" s="19"/>
      <c r="I3" s="19"/>
      <c r="J3" s="19"/>
      <c r="K3" s="19"/>
      <c r="L3" s="19"/>
      <c r="M3" s="19"/>
      <c r="N3" s="19"/>
      <c r="O3" s="19"/>
      <c r="P3" s="19"/>
      <c r="Q3" s="19"/>
      <c r="R3" s="19"/>
      <c r="S3" s="19"/>
      <c r="T3" s="19"/>
      <c r="U3" s="19"/>
      <c r="V3" s="19"/>
      <c r="W3" s="19"/>
      <c r="X3" s="19"/>
      <c r="Y3" s="19"/>
      <c r="Z3" s="19"/>
      <c r="AA3" s="20"/>
    </row>
    <row r="4" spans="1:27">
      <c r="B4" s="13"/>
      <c r="C4" s="15"/>
      <c r="D4" s="15"/>
      <c r="E4" s="15"/>
      <c r="F4" s="15"/>
      <c r="G4" s="155" t="s">
        <v>333</v>
      </c>
      <c r="H4" s="15"/>
      <c r="I4" s="15"/>
      <c r="J4" s="15"/>
      <c r="K4" s="15"/>
      <c r="L4" s="15"/>
      <c r="M4" s="15"/>
      <c r="N4" s="15"/>
      <c r="O4" s="15"/>
      <c r="P4" s="15"/>
      <c r="Q4" s="15"/>
      <c r="R4" s="15"/>
      <c r="S4" s="15"/>
      <c r="T4" s="15"/>
      <c r="U4" s="15"/>
      <c r="V4" s="15"/>
      <c r="W4" s="15"/>
      <c r="X4" s="15"/>
      <c r="Y4" s="15"/>
      <c r="Z4" s="15"/>
      <c r="AA4" s="14"/>
    </row>
    <row r="5" spans="1:27">
      <c r="B5" s="13"/>
      <c r="C5" s="3" t="s">
        <v>8</v>
      </c>
      <c r="F5" s="15"/>
      <c r="G5" s="15"/>
      <c r="H5" s="15"/>
      <c r="I5" s="15"/>
      <c r="J5" s="15"/>
      <c r="K5" s="15"/>
      <c r="L5" s="15"/>
      <c r="M5" s="15"/>
      <c r="N5" s="15"/>
      <c r="O5" s="15"/>
      <c r="P5" s="15"/>
      <c r="Q5" s="15"/>
      <c r="R5" s="15"/>
      <c r="S5" s="15"/>
      <c r="T5" s="15"/>
      <c r="U5" s="15"/>
      <c r="V5" s="15"/>
      <c r="W5" s="15"/>
      <c r="X5" s="15"/>
      <c r="Y5" s="15"/>
      <c r="Z5" s="15"/>
      <c r="AA5" s="14"/>
    </row>
    <row r="6" spans="1:27">
      <c r="B6" s="13"/>
      <c r="C6" s="15"/>
      <c r="D6" s="15"/>
      <c r="E6" s="15"/>
      <c r="F6" s="15"/>
      <c r="G6" s="15"/>
      <c r="H6" s="15"/>
      <c r="I6" s="15"/>
      <c r="J6" s="15"/>
      <c r="K6" s="15"/>
      <c r="L6" s="15"/>
      <c r="M6" s="15"/>
      <c r="N6" s="15"/>
      <c r="O6" s="15"/>
      <c r="P6" s="15"/>
      <c r="Q6" s="15"/>
      <c r="R6" s="15"/>
      <c r="S6" s="15"/>
      <c r="T6" s="15"/>
      <c r="U6" s="15"/>
      <c r="V6" s="15"/>
      <c r="W6" s="15"/>
      <c r="X6" s="15"/>
      <c r="Y6" s="15"/>
      <c r="Z6" s="15"/>
      <c r="AA6" s="14"/>
    </row>
    <row r="7" spans="1:27">
      <c r="B7" s="13"/>
      <c r="C7" s="11" t="s">
        <v>9</v>
      </c>
      <c r="D7" s="218">
        <v>44452.576701388884</v>
      </c>
      <c r="E7" s="11"/>
      <c r="F7" s="82"/>
      <c r="G7" s="15"/>
      <c r="H7" s="15"/>
      <c r="I7" s="15"/>
      <c r="J7" s="15"/>
      <c r="K7" s="15"/>
      <c r="L7" s="15"/>
      <c r="M7" s="15"/>
      <c r="N7" s="15"/>
      <c r="O7" s="15"/>
      <c r="P7" s="15"/>
      <c r="Q7" s="15"/>
      <c r="R7" s="15"/>
      <c r="S7" s="15"/>
      <c r="T7" s="15"/>
      <c r="U7" s="15"/>
      <c r="V7" s="15"/>
      <c r="W7" s="15"/>
      <c r="X7" s="15"/>
      <c r="Y7" s="15"/>
      <c r="Z7" s="15"/>
      <c r="AA7" s="14"/>
    </row>
    <row r="8" spans="1:27">
      <c r="B8" s="13"/>
      <c r="C8" s="11" t="s">
        <v>10</v>
      </c>
      <c r="D8" s="218">
        <v>44453.395787500005</v>
      </c>
      <c r="E8" s="11"/>
      <c r="F8" s="82"/>
      <c r="G8" s="15"/>
      <c r="H8" s="15"/>
      <c r="I8" s="15"/>
      <c r="J8" s="15"/>
      <c r="K8" s="15"/>
      <c r="L8" s="15"/>
      <c r="M8" s="15"/>
      <c r="N8" s="15"/>
      <c r="O8" s="15"/>
      <c r="P8" s="15"/>
      <c r="Q8" s="15"/>
      <c r="R8" s="15"/>
      <c r="S8" s="15"/>
      <c r="T8" s="15"/>
      <c r="U8" s="15"/>
      <c r="V8" s="15"/>
      <c r="W8" s="15"/>
      <c r="X8" s="15"/>
      <c r="Y8" s="15"/>
      <c r="Z8" s="15"/>
      <c r="AA8" s="14"/>
    </row>
    <row r="9" spans="1:27">
      <c r="B9" s="13"/>
      <c r="C9" s="11" t="s">
        <v>11</v>
      </c>
      <c r="D9" s="219" t="s">
        <v>12</v>
      </c>
      <c r="E9" s="11"/>
      <c r="F9" s="11"/>
      <c r="G9" s="15"/>
      <c r="H9" s="15"/>
      <c r="I9" s="15"/>
      <c r="J9" s="15"/>
      <c r="K9" s="15"/>
      <c r="L9" s="15"/>
      <c r="M9" s="15"/>
      <c r="N9" s="15"/>
      <c r="O9" s="15"/>
      <c r="P9" s="15"/>
      <c r="Q9" s="15"/>
      <c r="R9" s="15"/>
      <c r="S9" s="15"/>
      <c r="T9" s="15"/>
      <c r="U9" s="15"/>
      <c r="V9" s="15"/>
      <c r="W9" s="15"/>
      <c r="X9" s="15"/>
      <c r="Y9" s="15"/>
      <c r="Z9" s="15"/>
      <c r="AA9" s="14"/>
    </row>
    <row r="10" spans="1:27">
      <c r="B10" s="13"/>
      <c r="C10" s="15"/>
      <c r="D10" s="15"/>
      <c r="E10" s="15"/>
      <c r="F10" s="15"/>
      <c r="G10" s="15"/>
      <c r="H10" s="15"/>
      <c r="I10" s="15"/>
      <c r="J10" s="15"/>
      <c r="K10" s="15"/>
      <c r="L10" s="15"/>
      <c r="M10" s="15"/>
      <c r="N10" s="15"/>
      <c r="O10" s="15"/>
      <c r="P10" s="15"/>
      <c r="Q10" s="15"/>
      <c r="R10" s="15"/>
      <c r="S10" s="15"/>
      <c r="T10" s="15"/>
      <c r="U10" s="15"/>
      <c r="V10" s="15"/>
      <c r="W10" s="15"/>
      <c r="X10" s="15"/>
      <c r="Y10" s="15"/>
      <c r="Z10" s="15"/>
      <c r="AA10" s="14"/>
    </row>
    <row r="11" spans="1:27">
      <c r="B11" s="13"/>
      <c r="C11" s="11" t="s">
        <v>13</v>
      </c>
      <c r="D11" s="11" t="s">
        <v>111</v>
      </c>
      <c r="E11" s="11"/>
      <c r="F11" s="11"/>
      <c r="G11" s="15"/>
      <c r="H11" s="15"/>
      <c r="I11" s="15"/>
      <c r="J11" s="15"/>
      <c r="K11" s="15"/>
      <c r="L11" s="15"/>
      <c r="M11" s="15"/>
      <c r="N11" s="15"/>
      <c r="O11" s="15"/>
      <c r="P11" s="15"/>
      <c r="Q11" s="15"/>
      <c r="R11" s="15"/>
      <c r="S11" s="15"/>
      <c r="T11" s="15"/>
      <c r="U11" s="15"/>
      <c r="V11" s="15"/>
      <c r="W11" s="15"/>
      <c r="X11" s="15"/>
      <c r="Y11" s="15"/>
      <c r="Z11" s="15"/>
      <c r="AA11" s="14"/>
    </row>
    <row r="12" spans="1:27">
      <c r="B12" s="13"/>
      <c r="C12" s="11" t="s">
        <v>15</v>
      </c>
      <c r="D12" s="11" t="s">
        <v>303</v>
      </c>
      <c r="E12" s="11"/>
      <c r="F12" s="11"/>
      <c r="G12" s="15"/>
      <c r="H12" s="15"/>
      <c r="I12" s="15"/>
      <c r="J12" s="15"/>
      <c r="K12" s="15"/>
      <c r="L12" s="15"/>
      <c r="M12" s="15"/>
      <c r="N12" s="15"/>
      <c r="O12" s="15"/>
      <c r="P12" s="15"/>
      <c r="Q12" s="15"/>
      <c r="R12" s="15"/>
      <c r="S12" s="15"/>
      <c r="T12" s="15"/>
      <c r="U12" s="15"/>
      <c r="V12" s="15"/>
      <c r="W12" s="15"/>
      <c r="X12" s="15"/>
      <c r="Y12" s="15"/>
      <c r="Z12" s="15"/>
      <c r="AA12" s="14"/>
    </row>
    <row r="13" spans="1:27">
      <c r="B13" s="13"/>
      <c r="C13" s="15"/>
      <c r="D13" s="15"/>
      <c r="E13" s="15"/>
      <c r="F13" s="15"/>
      <c r="G13" s="15"/>
      <c r="H13" s="15"/>
      <c r="I13" s="15"/>
      <c r="J13" s="15"/>
      <c r="K13" s="15"/>
      <c r="L13" s="15"/>
      <c r="M13" s="15"/>
      <c r="N13" s="15"/>
      <c r="O13" s="15"/>
      <c r="P13" s="15"/>
      <c r="Q13" s="15"/>
      <c r="R13" s="15"/>
      <c r="S13" s="15"/>
      <c r="T13" s="15"/>
      <c r="U13" s="15"/>
      <c r="V13" s="15"/>
      <c r="W13" s="15"/>
      <c r="X13" s="15"/>
      <c r="Y13" s="15"/>
      <c r="Z13" s="15"/>
      <c r="AA13" s="14"/>
    </row>
    <row r="14" spans="1:27">
      <c r="B14" s="13"/>
      <c r="C14" s="83" t="s">
        <v>115</v>
      </c>
      <c r="D14" s="83" t="s">
        <v>116</v>
      </c>
      <c r="E14" s="83" t="s">
        <v>78</v>
      </c>
      <c r="F14" s="83" t="s">
        <v>79</v>
      </c>
      <c r="G14" s="275">
        <v>2000</v>
      </c>
      <c r="H14" s="275">
        <v>2001</v>
      </c>
      <c r="I14" s="275">
        <v>2002</v>
      </c>
      <c r="J14" s="275">
        <v>2003</v>
      </c>
      <c r="K14" s="275">
        <v>2004</v>
      </c>
      <c r="L14" s="275">
        <v>2005</v>
      </c>
      <c r="M14" s="275">
        <v>2006</v>
      </c>
      <c r="N14" s="275">
        <v>2007</v>
      </c>
      <c r="O14" s="275">
        <v>2008</v>
      </c>
      <c r="P14" s="275">
        <v>2009</v>
      </c>
      <c r="Q14" s="275">
        <v>2010</v>
      </c>
      <c r="R14" s="275">
        <v>2011</v>
      </c>
      <c r="S14" s="275">
        <v>2012</v>
      </c>
      <c r="T14" s="275">
        <v>2013</v>
      </c>
      <c r="U14" s="275">
        <v>2014</v>
      </c>
      <c r="V14" s="275">
        <v>2015</v>
      </c>
      <c r="W14" s="275">
        <v>2016</v>
      </c>
      <c r="X14" s="275">
        <v>2017</v>
      </c>
      <c r="Y14" s="275">
        <v>2018</v>
      </c>
      <c r="Z14" s="275">
        <v>2019</v>
      </c>
      <c r="AA14" s="14"/>
    </row>
    <row r="15" spans="1:27">
      <c r="B15" s="13"/>
      <c r="C15" s="83" t="s">
        <v>80</v>
      </c>
      <c r="D15" s="83" t="s">
        <v>1</v>
      </c>
      <c r="E15" s="83" t="s">
        <v>82</v>
      </c>
      <c r="F15" s="83" t="s">
        <v>14</v>
      </c>
      <c r="G15" s="85">
        <v>5553779.4000000004</v>
      </c>
      <c r="H15" s="85">
        <v>5599114.6900000004</v>
      </c>
      <c r="I15" s="85">
        <v>5617192.7149999999</v>
      </c>
      <c r="J15" s="85">
        <v>5610321.4129999997</v>
      </c>
      <c r="K15" s="85">
        <v>5894589.7259999998</v>
      </c>
      <c r="L15" s="85">
        <v>5954486.4309999999</v>
      </c>
      <c r="M15" s="85">
        <v>6108004.301</v>
      </c>
      <c r="N15" s="85">
        <v>6366184.8849999998</v>
      </c>
      <c r="O15" s="85">
        <v>6253011.8020000001</v>
      </c>
      <c r="P15" s="85">
        <v>5582862.7390000001</v>
      </c>
      <c r="Q15" s="85">
        <v>5338869.0520000001</v>
      </c>
      <c r="R15" s="85">
        <v>5666757.0719999997</v>
      </c>
      <c r="S15" s="85">
        <v>5248892.0930000003</v>
      </c>
      <c r="T15" s="85">
        <v>5136596.1129999999</v>
      </c>
      <c r="U15" s="85">
        <v>5190920.1679999996</v>
      </c>
      <c r="V15" s="85">
        <v>5123302.9139999999</v>
      </c>
      <c r="W15" s="85">
        <v>5117857.1169999996</v>
      </c>
      <c r="X15" s="85">
        <v>5297903.2189999996</v>
      </c>
      <c r="Y15" s="85">
        <v>5335027.5810000002</v>
      </c>
      <c r="Z15" s="85">
        <v>5325644.7230000002</v>
      </c>
      <c r="AA15" s="14"/>
    </row>
    <row r="16" spans="1:27">
      <c r="B16" s="13"/>
      <c r="C16" s="83" t="s">
        <v>80</v>
      </c>
      <c r="D16" s="83" t="s">
        <v>1</v>
      </c>
      <c r="E16" s="83" t="s">
        <v>83</v>
      </c>
      <c r="F16" s="83" t="s">
        <v>31</v>
      </c>
      <c r="G16" s="85">
        <v>1467311.808</v>
      </c>
      <c r="H16" s="85">
        <v>1446969.068</v>
      </c>
      <c r="I16" s="85">
        <v>1447957.7209999999</v>
      </c>
      <c r="J16" s="85">
        <v>1341056.2860000001</v>
      </c>
      <c r="K16" s="85">
        <v>1534428.284</v>
      </c>
      <c r="L16" s="85">
        <v>1470233.2960000001</v>
      </c>
      <c r="M16" s="85">
        <v>1394602.774</v>
      </c>
      <c r="N16" s="85">
        <v>1443096.1610000001</v>
      </c>
      <c r="O16" s="85">
        <v>1485963.0870000001</v>
      </c>
      <c r="P16" s="85">
        <v>1457148.828</v>
      </c>
      <c r="Q16" s="85">
        <v>1421195.196</v>
      </c>
      <c r="R16" s="85">
        <v>1489082.0519999999</v>
      </c>
      <c r="S16" s="85">
        <v>1430291.466</v>
      </c>
      <c r="T16" s="85">
        <v>1475221.145</v>
      </c>
      <c r="U16" s="85">
        <v>1576154.817</v>
      </c>
      <c r="V16" s="85">
        <v>1469058.8740000001</v>
      </c>
      <c r="W16" s="85">
        <v>1495265.486</v>
      </c>
      <c r="X16" s="85">
        <v>1538468.273</v>
      </c>
      <c r="Y16" s="85">
        <v>1480654.0190000001</v>
      </c>
      <c r="Z16" s="85">
        <v>1477742.8370000001</v>
      </c>
      <c r="AA16" s="14"/>
    </row>
    <row r="17" spans="2:27">
      <c r="B17" s="13"/>
      <c r="C17" s="83" t="s">
        <v>80</v>
      </c>
      <c r="D17" s="83" t="s">
        <v>1</v>
      </c>
      <c r="E17" s="83" t="s">
        <v>84</v>
      </c>
      <c r="F17" s="83" t="s">
        <v>32</v>
      </c>
      <c r="G17" s="85">
        <v>150368.73199999999</v>
      </c>
      <c r="H17" s="85">
        <v>144623.53</v>
      </c>
      <c r="I17" s="85">
        <v>139896.08300000001</v>
      </c>
      <c r="J17" s="85">
        <v>137859.36900000001</v>
      </c>
      <c r="K17" s="85">
        <v>139829.24100000001</v>
      </c>
      <c r="L17" s="85">
        <v>139280.42300000001</v>
      </c>
      <c r="M17" s="85">
        <v>142836.17300000001</v>
      </c>
      <c r="N17" s="85">
        <v>139590.361</v>
      </c>
      <c r="O17" s="85">
        <v>140095.79399999999</v>
      </c>
      <c r="P17" s="85">
        <v>136529.19399999999</v>
      </c>
      <c r="Q17" s="85">
        <v>163922.16200000001</v>
      </c>
      <c r="R17" s="85">
        <v>170654.26199999999</v>
      </c>
      <c r="S17" s="85">
        <v>184468.83499999999</v>
      </c>
      <c r="T17" s="85">
        <v>213604.23199999999</v>
      </c>
      <c r="U17" s="85">
        <v>189156.08100000001</v>
      </c>
      <c r="V17" s="85">
        <v>189361.39199999999</v>
      </c>
      <c r="W17" s="85">
        <v>206501.59899999999</v>
      </c>
      <c r="X17" s="85">
        <v>211449.81899999999</v>
      </c>
      <c r="Y17" s="85">
        <v>218695.397</v>
      </c>
      <c r="Z17" s="85">
        <v>219624.38099999999</v>
      </c>
      <c r="AA17" s="14"/>
    </row>
    <row r="18" spans="2:27">
      <c r="B18" s="13"/>
      <c r="C18" s="83" t="s">
        <v>80</v>
      </c>
      <c r="D18" s="83" t="s">
        <v>1</v>
      </c>
      <c r="E18" s="83" t="s">
        <v>85</v>
      </c>
      <c r="F18" s="83" t="s">
        <v>33</v>
      </c>
      <c r="G18" s="85">
        <v>3155112.5920000002</v>
      </c>
      <c r="H18" s="85">
        <v>3217608.9029999999</v>
      </c>
      <c r="I18" s="85">
        <v>3242184.0780000002</v>
      </c>
      <c r="J18" s="85">
        <v>3342932.196</v>
      </c>
      <c r="K18" s="85">
        <v>3432871.2059999998</v>
      </c>
      <c r="L18" s="85">
        <v>3574957.3229999999</v>
      </c>
      <c r="M18" s="85">
        <v>3811375.2069999999</v>
      </c>
      <c r="N18" s="85">
        <v>4041946.875</v>
      </c>
      <c r="O18" s="85">
        <v>3903512.0660000001</v>
      </c>
      <c r="P18" s="85">
        <v>3303250.1430000002</v>
      </c>
      <c r="Q18" s="85">
        <v>3068830.1490000002</v>
      </c>
      <c r="R18" s="85">
        <v>3303752.3849999998</v>
      </c>
      <c r="S18" s="85">
        <v>2934908.7080000001</v>
      </c>
      <c r="T18" s="85">
        <v>2773384.281</v>
      </c>
      <c r="U18" s="85">
        <v>2785731.11</v>
      </c>
      <c r="V18" s="85">
        <v>2848366.9849999999</v>
      </c>
      <c r="W18" s="85">
        <v>2842182.24</v>
      </c>
      <c r="X18" s="85">
        <v>2973242.2439999999</v>
      </c>
      <c r="Y18" s="85">
        <v>3074023.077</v>
      </c>
      <c r="Z18" s="85">
        <v>3150037.6949999998</v>
      </c>
      <c r="AA18" s="14"/>
    </row>
    <row r="19" spans="2:27">
      <c r="B19" s="13"/>
      <c r="C19" s="83" t="s">
        <v>80</v>
      </c>
      <c r="D19" s="83" t="s">
        <v>1</v>
      </c>
      <c r="E19" s="83" t="s">
        <v>86</v>
      </c>
      <c r="F19" s="83" t="s">
        <v>34</v>
      </c>
      <c r="G19" s="85">
        <v>780986.26800000004</v>
      </c>
      <c r="H19" s="85">
        <v>789913.18900000001</v>
      </c>
      <c r="I19" s="85">
        <v>787154.83400000003</v>
      </c>
      <c r="J19" s="85">
        <v>788473.56099999999</v>
      </c>
      <c r="K19" s="85">
        <v>787460.995</v>
      </c>
      <c r="L19" s="85">
        <v>770015.38800000004</v>
      </c>
      <c r="M19" s="85">
        <v>759190.147</v>
      </c>
      <c r="N19" s="85">
        <v>741551.48800000001</v>
      </c>
      <c r="O19" s="85">
        <v>723440.85499999998</v>
      </c>
      <c r="P19" s="85">
        <v>685934.57499999995</v>
      </c>
      <c r="Q19" s="85">
        <v>684921.54500000004</v>
      </c>
      <c r="R19" s="85">
        <v>703268.37300000002</v>
      </c>
      <c r="S19" s="85">
        <v>699223.08400000003</v>
      </c>
      <c r="T19" s="85">
        <v>674386.45499999996</v>
      </c>
      <c r="U19" s="85">
        <v>639878.15899999999</v>
      </c>
      <c r="V19" s="85">
        <v>616515.66399999999</v>
      </c>
      <c r="W19" s="85">
        <v>573907.79200000002</v>
      </c>
      <c r="X19" s="85">
        <v>574742.88300000003</v>
      </c>
      <c r="Y19" s="85">
        <v>561655.08799999999</v>
      </c>
      <c r="Z19" s="85">
        <v>478239.80900000001</v>
      </c>
      <c r="AA19" s="14"/>
    </row>
    <row r="20" spans="2:27">
      <c r="B20" s="13"/>
      <c r="C20" s="83" t="s">
        <v>91</v>
      </c>
      <c r="D20" s="83" t="s">
        <v>112</v>
      </c>
      <c r="E20" s="83" t="s">
        <v>82</v>
      </c>
      <c r="F20" s="83" t="s">
        <v>14</v>
      </c>
      <c r="G20" s="85">
        <v>3188691.219</v>
      </c>
      <c r="H20" s="85">
        <v>3344866.55</v>
      </c>
      <c r="I20" s="85">
        <v>3313309.3569999998</v>
      </c>
      <c r="J20" s="85">
        <v>3356527.23</v>
      </c>
      <c r="K20" s="85">
        <v>3404089.7450000001</v>
      </c>
      <c r="L20" s="85">
        <v>3462479.6680000001</v>
      </c>
      <c r="M20" s="85">
        <v>3724280.395</v>
      </c>
      <c r="N20" s="85">
        <v>3831485.1639999999</v>
      </c>
      <c r="O20" s="85">
        <v>3869374.9160000002</v>
      </c>
      <c r="P20" s="85">
        <v>3210819.2540000002</v>
      </c>
      <c r="Q20" s="85">
        <v>3188054.1529999999</v>
      </c>
      <c r="R20" s="85">
        <v>3195223.4670000002</v>
      </c>
      <c r="S20" s="85">
        <v>3050976.551</v>
      </c>
      <c r="T20" s="85">
        <v>3033427.537</v>
      </c>
      <c r="U20" s="85">
        <v>3048833.2850000001</v>
      </c>
      <c r="V20" s="85">
        <v>3110528.307</v>
      </c>
      <c r="W20" s="85">
        <v>3062919.054</v>
      </c>
      <c r="X20" s="85">
        <v>3396565.017</v>
      </c>
      <c r="Y20" s="85">
        <v>3477106.7969999998</v>
      </c>
      <c r="Z20" s="85">
        <v>3419133.5720000002</v>
      </c>
      <c r="AA20" s="14"/>
    </row>
    <row r="21" spans="2:27">
      <c r="B21" s="13"/>
      <c r="C21" s="83" t="s">
        <v>91</v>
      </c>
      <c r="D21" s="83" t="s">
        <v>112</v>
      </c>
      <c r="E21" s="83" t="s">
        <v>83</v>
      </c>
      <c r="F21" s="83" t="s">
        <v>31</v>
      </c>
      <c r="G21" s="85">
        <v>238253.10500000001</v>
      </c>
      <c r="H21" s="85">
        <v>237134.09899999999</v>
      </c>
      <c r="I21" s="85">
        <v>235097.31599999999</v>
      </c>
      <c r="J21" s="85">
        <v>222713.66099999999</v>
      </c>
      <c r="K21" s="85">
        <v>216580.96</v>
      </c>
      <c r="L21" s="85">
        <v>214816.391</v>
      </c>
      <c r="M21" s="85">
        <v>221728.95600000001</v>
      </c>
      <c r="N21" s="85">
        <v>252345.495</v>
      </c>
      <c r="O21" s="85">
        <v>250492.66099999999</v>
      </c>
      <c r="P21" s="85">
        <v>207311.212</v>
      </c>
      <c r="Q21" s="85">
        <v>197508.595</v>
      </c>
      <c r="R21" s="85">
        <v>217977.495</v>
      </c>
      <c r="S21" s="85">
        <v>210908.299</v>
      </c>
      <c r="T21" s="85">
        <v>210906.53099999999</v>
      </c>
      <c r="U21" s="85">
        <v>222352.166</v>
      </c>
      <c r="V21" s="85">
        <v>216841.13500000001</v>
      </c>
      <c r="W21" s="85">
        <v>231545.927</v>
      </c>
      <c r="X21" s="85">
        <v>245928.96599999999</v>
      </c>
      <c r="Y21" s="85">
        <v>258107.98300000001</v>
      </c>
      <c r="Z21" s="85">
        <v>261969.79699999999</v>
      </c>
      <c r="AA21" s="14"/>
    </row>
    <row r="22" spans="2:27">
      <c r="B22" s="13"/>
      <c r="C22" s="83" t="s">
        <v>91</v>
      </c>
      <c r="D22" s="83" t="s">
        <v>112</v>
      </c>
      <c r="E22" s="83" t="s">
        <v>84</v>
      </c>
      <c r="F22" s="83" t="s">
        <v>32</v>
      </c>
      <c r="G22" s="85">
        <v>998026.90800000005</v>
      </c>
      <c r="H22" s="85">
        <v>1062132.8999999999</v>
      </c>
      <c r="I22" s="85">
        <v>1072574.233</v>
      </c>
      <c r="J22" s="85">
        <v>1075150.7009999999</v>
      </c>
      <c r="K22" s="85">
        <v>1091011.997</v>
      </c>
      <c r="L22" s="85">
        <v>1085524.273</v>
      </c>
      <c r="M22" s="85">
        <v>1218609.892</v>
      </c>
      <c r="N22" s="85">
        <v>1241369.5719999999</v>
      </c>
      <c r="O22" s="85">
        <v>1262723.476</v>
      </c>
      <c r="P22" s="85">
        <v>892421.79</v>
      </c>
      <c r="Q22" s="85">
        <v>1020556.372</v>
      </c>
      <c r="R22" s="85">
        <v>1026722.611</v>
      </c>
      <c r="S22" s="85">
        <v>934869.63100000005</v>
      </c>
      <c r="T22" s="85">
        <v>947171.103</v>
      </c>
      <c r="U22" s="85">
        <v>994632.28799999994</v>
      </c>
      <c r="V22" s="85">
        <v>992889.34699999995</v>
      </c>
      <c r="W22" s="85">
        <v>992718.429</v>
      </c>
      <c r="X22" s="85">
        <v>1037806.351</v>
      </c>
      <c r="Y22" s="85">
        <v>1071753.6029999999</v>
      </c>
      <c r="Z22" s="85">
        <v>985464.15300000005</v>
      </c>
      <c r="AA22" s="14"/>
    </row>
    <row r="23" spans="2:27">
      <c r="B23" s="13"/>
      <c r="C23" s="83" t="s">
        <v>91</v>
      </c>
      <c r="D23" s="83" t="s">
        <v>112</v>
      </c>
      <c r="E23" s="83" t="s">
        <v>85</v>
      </c>
      <c r="F23" s="83" t="s">
        <v>33</v>
      </c>
      <c r="G23" s="85">
        <v>420647.408</v>
      </c>
      <c r="H23" s="85">
        <v>453037.29399999999</v>
      </c>
      <c r="I23" s="85">
        <v>445896.52</v>
      </c>
      <c r="J23" s="85">
        <v>450765.473</v>
      </c>
      <c r="K23" s="85">
        <v>425374.54599999997</v>
      </c>
      <c r="L23" s="85">
        <v>441061.89799999999</v>
      </c>
      <c r="M23" s="85">
        <v>495385.67800000001</v>
      </c>
      <c r="N23" s="85">
        <v>543867.94200000004</v>
      </c>
      <c r="O23" s="85">
        <v>525973.04099999997</v>
      </c>
      <c r="P23" s="85">
        <v>506900.89199999999</v>
      </c>
      <c r="Q23" s="85">
        <v>392259.30300000001</v>
      </c>
      <c r="R23" s="85">
        <v>420683.44699999999</v>
      </c>
      <c r="S23" s="85">
        <v>365019.06199999998</v>
      </c>
      <c r="T23" s="85">
        <v>346286.228</v>
      </c>
      <c r="U23" s="85">
        <v>351541.67599999998</v>
      </c>
      <c r="V23" s="85">
        <v>360517.81</v>
      </c>
      <c r="W23" s="85">
        <v>355331.92</v>
      </c>
      <c r="X23" s="85">
        <v>497076.51899999997</v>
      </c>
      <c r="Y23" s="85">
        <v>488080.37199999997</v>
      </c>
      <c r="Z23" s="85">
        <v>512778.283</v>
      </c>
      <c r="AA23" s="14"/>
    </row>
    <row r="24" spans="2:27">
      <c r="B24" s="13"/>
      <c r="C24" s="83" t="s">
        <v>91</v>
      </c>
      <c r="D24" s="83" t="s">
        <v>112</v>
      </c>
      <c r="E24" s="83" t="s">
        <v>86</v>
      </c>
      <c r="F24" s="83" t="s">
        <v>34</v>
      </c>
      <c r="G24" s="85">
        <v>1531763.798</v>
      </c>
      <c r="H24" s="85">
        <v>1592562.257</v>
      </c>
      <c r="I24" s="85">
        <v>1559741.2890000001</v>
      </c>
      <c r="J24" s="85">
        <v>1607897.395</v>
      </c>
      <c r="K24" s="85">
        <v>1671122.243</v>
      </c>
      <c r="L24" s="85">
        <v>1721077.1070000001</v>
      </c>
      <c r="M24" s="85">
        <v>1788555.8689999999</v>
      </c>
      <c r="N24" s="85">
        <v>1793902.1540000001</v>
      </c>
      <c r="O24" s="85">
        <v>1830185.7379999999</v>
      </c>
      <c r="P24" s="85">
        <v>1604185.361</v>
      </c>
      <c r="Q24" s="85">
        <v>1577729.8829999999</v>
      </c>
      <c r="R24" s="85">
        <v>1529839.9129999999</v>
      </c>
      <c r="S24" s="85">
        <v>1540179.5589999999</v>
      </c>
      <c r="T24" s="85">
        <v>1529063.675</v>
      </c>
      <c r="U24" s="85">
        <v>1480307.1540000001</v>
      </c>
      <c r="V24" s="85">
        <v>1540280.0149999999</v>
      </c>
      <c r="W24" s="85">
        <v>1483322.7779999999</v>
      </c>
      <c r="X24" s="85">
        <v>1615753.1810000001</v>
      </c>
      <c r="Y24" s="85">
        <v>1659164.8389999999</v>
      </c>
      <c r="Z24" s="85">
        <v>1658921.338</v>
      </c>
      <c r="AA24" s="14"/>
    </row>
    <row r="25" spans="2:27">
      <c r="B25" s="13"/>
      <c r="C25" s="83" t="s">
        <v>92</v>
      </c>
      <c r="D25" s="83" t="s">
        <v>304</v>
      </c>
      <c r="E25" s="83" t="s">
        <v>82</v>
      </c>
      <c r="F25" s="83" t="s">
        <v>14</v>
      </c>
      <c r="G25" s="85">
        <v>1801455.1869999999</v>
      </c>
      <c r="H25" s="85">
        <v>1845845.061</v>
      </c>
      <c r="I25" s="85">
        <v>1848542.496</v>
      </c>
      <c r="J25" s="85">
        <v>1830455.9010000001</v>
      </c>
      <c r="K25" s="85">
        <v>1861640.4939999999</v>
      </c>
      <c r="L25" s="85">
        <v>1880559.3929999999</v>
      </c>
      <c r="M25" s="85">
        <v>2010622.1270000001</v>
      </c>
      <c r="N25" s="85">
        <v>2179842.6869999999</v>
      </c>
      <c r="O25" s="85">
        <v>2266222.2829999998</v>
      </c>
      <c r="P25" s="85">
        <v>1992557.38</v>
      </c>
      <c r="Q25" s="85">
        <v>1895979.0859999999</v>
      </c>
      <c r="R25" s="85">
        <v>1992337.6510000001</v>
      </c>
      <c r="S25" s="85">
        <v>1984584.0249999999</v>
      </c>
      <c r="T25" s="85">
        <v>1998601.024</v>
      </c>
      <c r="U25" s="85">
        <v>2032627.9680000001</v>
      </c>
      <c r="V25" s="85">
        <v>2056035.175</v>
      </c>
      <c r="W25" s="85">
        <v>2022892.977</v>
      </c>
      <c r="X25" s="85">
        <v>2309357.5070000002</v>
      </c>
      <c r="Y25" s="85">
        <v>2314786.91</v>
      </c>
      <c r="Z25" s="85">
        <v>2283574.6749999998</v>
      </c>
      <c r="AA25" s="14"/>
    </row>
    <row r="26" spans="2:27">
      <c r="B26" s="13"/>
      <c r="C26" s="83" t="s">
        <v>92</v>
      </c>
      <c r="D26" s="83" t="s">
        <v>304</v>
      </c>
      <c r="E26" s="83" t="s">
        <v>83</v>
      </c>
      <c r="F26" s="83" t="s">
        <v>31</v>
      </c>
      <c r="G26" s="85">
        <v>264891.25099999999</v>
      </c>
      <c r="H26" s="85">
        <v>245753.23800000001</v>
      </c>
      <c r="I26" s="85">
        <v>244349.64199999999</v>
      </c>
      <c r="J26" s="85">
        <v>231787.747</v>
      </c>
      <c r="K26" s="85">
        <v>224760.372</v>
      </c>
      <c r="L26" s="85">
        <v>233297.31</v>
      </c>
      <c r="M26" s="85">
        <v>230492.69899999999</v>
      </c>
      <c r="N26" s="85">
        <v>255330.99299999999</v>
      </c>
      <c r="O26" s="85">
        <v>276991.64399999997</v>
      </c>
      <c r="P26" s="85">
        <v>251316.48199999999</v>
      </c>
      <c r="Q26" s="85">
        <v>232978.87899999999</v>
      </c>
      <c r="R26" s="85">
        <v>263230.56</v>
      </c>
      <c r="S26" s="85">
        <v>258892.261</v>
      </c>
      <c r="T26" s="85">
        <v>277294.799</v>
      </c>
      <c r="U26" s="85">
        <v>287762.38699999999</v>
      </c>
      <c r="V26" s="85">
        <v>284826.46999999997</v>
      </c>
      <c r="W26" s="85">
        <v>297953.47700000001</v>
      </c>
      <c r="X26" s="85">
        <v>303998.533</v>
      </c>
      <c r="Y26" s="85">
        <v>298326.82699999999</v>
      </c>
      <c r="Z26" s="85">
        <v>315859.80200000003</v>
      </c>
      <c r="AA26" s="14"/>
    </row>
    <row r="27" spans="2:27">
      <c r="B27" s="13"/>
      <c r="C27" s="83" t="s">
        <v>92</v>
      </c>
      <c r="D27" s="83" t="s">
        <v>304</v>
      </c>
      <c r="E27" s="83" t="s">
        <v>84</v>
      </c>
      <c r="F27" s="83" t="s">
        <v>32</v>
      </c>
      <c r="G27" s="85">
        <v>441343.8</v>
      </c>
      <c r="H27" s="85">
        <v>456444.94699999999</v>
      </c>
      <c r="I27" s="85">
        <v>444311.99900000001</v>
      </c>
      <c r="J27" s="85">
        <v>435415.07199999999</v>
      </c>
      <c r="K27" s="85">
        <v>482781.04100000003</v>
      </c>
      <c r="L27" s="85">
        <v>463350.18800000002</v>
      </c>
      <c r="M27" s="85">
        <v>534328.21</v>
      </c>
      <c r="N27" s="85">
        <v>569031.69999999995</v>
      </c>
      <c r="O27" s="85">
        <v>623432.70900000003</v>
      </c>
      <c r="P27" s="85">
        <v>474037.913</v>
      </c>
      <c r="Q27" s="85">
        <v>527533.61499999999</v>
      </c>
      <c r="R27" s="85">
        <v>564898.50899999996</v>
      </c>
      <c r="S27" s="85">
        <v>550598.65</v>
      </c>
      <c r="T27" s="85">
        <v>565450.62600000005</v>
      </c>
      <c r="U27" s="85">
        <v>587228.04799999995</v>
      </c>
      <c r="V27" s="85">
        <v>564599.47699999996</v>
      </c>
      <c r="W27" s="85">
        <v>574093.29099999997</v>
      </c>
      <c r="X27" s="85">
        <v>598861.60199999996</v>
      </c>
      <c r="Y27" s="85">
        <v>635831.37199999997</v>
      </c>
      <c r="Z27" s="85">
        <v>601554.33600000001</v>
      </c>
      <c r="AA27" s="14"/>
    </row>
    <row r="28" spans="2:27">
      <c r="B28" s="13"/>
      <c r="C28" s="83" t="s">
        <v>92</v>
      </c>
      <c r="D28" s="83" t="s">
        <v>304</v>
      </c>
      <c r="E28" s="83" t="s">
        <v>85</v>
      </c>
      <c r="F28" s="83" t="s">
        <v>33</v>
      </c>
      <c r="G28" s="85">
        <v>384225.17</v>
      </c>
      <c r="H28" s="85">
        <v>419100.44500000001</v>
      </c>
      <c r="I28" s="85">
        <v>430149.99200000003</v>
      </c>
      <c r="J28" s="85">
        <v>416255.32699999999</v>
      </c>
      <c r="K28" s="85">
        <v>407327.00300000003</v>
      </c>
      <c r="L28" s="85">
        <v>423645.17499999999</v>
      </c>
      <c r="M28" s="85">
        <v>464055.06699999998</v>
      </c>
      <c r="N28" s="85">
        <v>522031.89</v>
      </c>
      <c r="O28" s="85">
        <v>524938.67799999996</v>
      </c>
      <c r="P28" s="85">
        <v>544360.53099999996</v>
      </c>
      <c r="Q28" s="85">
        <v>418731.58299999998</v>
      </c>
      <c r="R28" s="85">
        <v>441917.59499999997</v>
      </c>
      <c r="S28" s="85">
        <v>404862.32400000002</v>
      </c>
      <c r="T28" s="85">
        <v>403673.913</v>
      </c>
      <c r="U28" s="85">
        <v>414827.57500000001</v>
      </c>
      <c r="V28" s="85">
        <v>442183.01299999998</v>
      </c>
      <c r="W28" s="85">
        <v>419119.72499999998</v>
      </c>
      <c r="X28" s="85">
        <v>614154.41399999999</v>
      </c>
      <c r="Y28" s="85">
        <v>573740.28399999999</v>
      </c>
      <c r="Z28" s="85">
        <v>599090.31499999994</v>
      </c>
      <c r="AA28" s="14"/>
    </row>
    <row r="29" spans="2:27">
      <c r="B29" s="13"/>
      <c r="C29" s="83" t="s">
        <v>92</v>
      </c>
      <c r="D29" s="83" t="s">
        <v>304</v>
      </c>
      <c r="E29" s="83" t="s">
        <v>86</v>
      </c>
      <c r="F29" s="83" t="s">
        <v>34</v>
      </c>
      <c r="G29" s="85">
        <v>710994.96600000001</v>
      </c>
      <c r="H29" s="85">
        <v>724546.43099999998</v>
      </c>
      <c r="I29" s="85">
        <v>729730.86300000001</v>
      </c>
      <c r="J29" s="85">
        <v>746997.755</v>
      </c>
      <c r="K29" s="85">
        <v>746772.07799999998</v>
      </c>
      <c r="L29" s="85">
        <v>760266.72</v>
      </c>
      <c r="M29" s="85">
        <v>781746.15099999995</v>
      </c>
      <c r="N29" s="85">
        <v>833448.10400000005</v>
      </c>
      <c r="O29" s="85">
        <v>840859.25199999998</v>
      </c>
      <c r="P29" s="85">
        <v>722842.45400000003</v>
      </c>
      <c r="Q29" s="85">
        <v>716735.00899999996</v>
      </c>
      <c r="R29" s="85">
        <v>722290.98699999996</v>
      </c>
      <c r="S29" s="85">
        <v>770230.79</v>
      </c>
      <c r="T29" s="85">
        <v>752181.68599999999</v>
      </c>
      <c r="U29" s="85">
        <v>742809.95799999998</v>
      </c>
      <c r="V29" s="85">
        <v>764426.21499999997</v>
      </c>
      <c r="W29" s="85">
        <v>731726.48300000001</v>
      </c>
      <c r="X29" s="85">
        <v>792342.95799999998</v>
      </c>
      <c r="Y29" s="85">
        <v>806888.42700000003</v>
      </c>
      <c r="Z29" s="85">
        <v>767070.22199999995</v>
      </c>
      <c r="AA29" s="14"/>
    </row>
    <row r="30" spans="2:27">
      <c r="B30" s="13"/>
      <c r="C30" s="83" t="s">
        <v>93</v>
      </c>
      <c r="D30" s="83" t="s">
        <v>297</v>
      </c>
      <c r="E30" s="83" t="s">
        <v>82</v>
      </c>
      <c r="F30" s="83" t="s">
        <v>14</v>
      </c>
      <c r="G30" s="85">
        <v>6941015.432</v>
      </c>
      <c r="H30" s="85">
        <v>7098136.1789999995</v>
      </c>
      <c r="I30" s="85">
        <v>7081959.5760000004</v>
      </c>
      <c r="J30" s="85">
        <v>7136392.7419999996</v>
      </c>
      <c r="K30" s="85">
        <v>7437038.977</v>
      </c>
      <c r="L30" s="85">
        <v>7536406.7060000002</v>
      </c>
      <c r="M30" s="85">
        <v>7821662.5690000001</v>
      </c>
      <c r="N30" s="85">
        <v>8017827.3619999997</v>
      </c>
      <c r="O30" s="85">
        <v>7856164.4359999998</v>
      </c>
      <c r="P30" s="85">
        <v>6801124.6119999997</v>
      </c>
      <c r="Q30" s="85">
        <v>6630944.1189999999</v>
      </c>
      <c r="R30" s="85">
        <v>6869642.8870000001</v>
      </c>
      <c r="S30" s="85">
        <v>6315284.6179999998</v>
      </c>
      <c r="T30" s="85">
        <v>6171422.6260000002</v>
      </c>
      <c r="U30" s="85">
        <v>6207125.4850000003</v>
      </c>
      <c r="V30" s="85">
        <v>6177796.0470000003</v>
      </c>
      <c r="W30" s="85">
        <v>6157883.1940000001</v>
      </c>
      <c r="X30" s="85">
        <v>6385110.7280000001</v>
      </c>
      <c r="Y30" s="85">
        <v>6497347.4680000003</v>
      </c>
      <c r="Z30" s="85">
        <v>6461203.6200000001</v>
      </c>
      <c r="AA30" s="14"/>
    </row>
    <row r="31" spans="2:27">
      <c r="B31" s="13"/>
      <c r="C31" s="83" t="s">
        <v>93</v>
      </c>
      <c r="D31" s="83" t="s">
        <v>297</v>
      </c>
      <c r="E31" s="83" t="s">
        <v>83</v>
      </c>
      <c r="F31" s="83" t="s">
        <v>31</v>
      </c>
      <c r="G31" s="85">
        <v>1440673.6610000001</v>
      </c>
      <c r="H31" s="85">
        <v>1438349.9280000001</v>
      </c>
      <c r="I31" s="85">
        <v>1438705.3940000001</v>
      </c>
      <c r="J31" s="85">
        <v>1331982.2009999999</v>
      </c>
      <c r="K31" s="85">
        <v>1526248.872</v>
      </c>
      <c r="L31" s="85">
        <v>1451752.3770000001</v>
      </c>
      <c r="M31" s="85">
        <v>1385839.031</v>
      </c>
      <c r="N31" s="85">
        <v>1440110.6629999999</v>
      </c>
      <c r="O31" s="85">
        <v>1459464.1040000001</v>
      </c>
      <c r="P31" s="85">
        <v>1413143.547</v>
      </c>
      <c r="Q31" s="85">
        <v>1385724.912</v>
      </c>
      <c r="R31" s="85">
        <v>1443828.987</v>
      </c>
      <c r="S31" s="85">
        <v>1382307.504</v>
      </c>
      <c r="T31" s="85">
        <v>1408832.8759999999</v>
      </c>
      <c r="U31" s="85">
        <v>1510744.5970000001</v>
      </c>
      <c r="V31" s="85">
        <v>1401073.5390000001</v>
      </c>
      <c r="W31" s="85">
        <v>1428857.936</v>
      </c>
      <c r="X31" s="85">
        <v>1480398.7050000001</v>
      </c>
      <c r="Y31" s="85">
        <v>1440435.175</v>
      </c>
      <c r="Z31" s="85">
        <v>1423852.8330000001</v>
      </c>
      <c r="AA31" s="14"/>
    </row>
    <row r="32" spans="2:27">
      <c r="B32" s="13"/>
      <c r="C32" s="83" t="s">
        <v>93</v>
      </c>
      <c r="D32" s="83" t="s">
        <v>297</v>
      </c>
      <c r="E32" s="83" t="s">
        <v>84</v>
      </c>
      <c r="F32" s="83" t="s">
        <v>32</v>
      </c>
      <c r="G32" s="85">
        <v>707051.84100000001</v>
      </c>
      <c r="H32" s="85">
        <v>750311.48300000001</v>
      </c>
      <c r="I32" s="85">
        <v>768158.31599999999</v>
      </c>
      <c r="J32" s="85">
        <v>777594.99800000002</v>
      </c>
      <c r="K32" s="85">
        <v>748060.19799999997</v>
      </c>
      <c r="L32" s="85">
        <v>761454.50800000003</v>
      </c>
      <c r="M32" s="85">
        <v>827117.85499999998</v>
      </c>
      <c r="N32" s="85">
        <v>811928.23300000001</v>
      </c>
      <c r="O32" s="85">
        <v>779386.56</v>
      </c>
      <c r="P32" s="85">
        <v>554913.07999999996</v>
      </c>
      <c r="Q32" s="85">
        <v>656944.91899999999</v>
      </c>
      <c r="R32" s="85">
        <v>632478.36300000001</v>
      </c>
      <c r="S32" s="85">
        <v>568739.81599999999</v>
      </c>
      <c r="T32" s="85">
        <v>595324.70900000003</v>
      </c>
      <c r="U32" s="85">
        <v>596560.321</v>
      </c>
      <c r="V32" s="85">
        <v>617651.26199999999</v>
      </c>
      <c r="W32" s="85">
        <v>625126.73699999996</v>
      </c>
      <c r="X32" s="85">
        <v>650394.56799999997</v>
      </c>
      <c r="Y32" s="85">
        <v>654617.62800000003</v>
      </c>
      <c r="Z32" s="85">
        <v>603534.19799999997</v>
      </c>
      <c r="AA32" s="14"/>
    </row>
    <row r="33" spans="2:27">
      <c r="B33" s="13"/>
      <c r="C33" s="83" t="s">
        <v>93</v>
      </c>
      <c r="D33" s="83" t="s">
        <v>297</v>
      </c>
      <c r="E33" s="83" t="s">
        <v>85</v>
      </c>
      <c r="F33" s="83" t="s">
        <v>33</v>
      </c>
      <c r="G33" s="85">
        <v>3191534.83</v>
      </c>
      <c r="H33" s="85">
        <v>3251545.7519999999</v>
      </c>
      <c r="I33" s="85">
        <v>3257930.6060000001</v>
      </c>
      <c r="J33" s="85">
        <v>3377442.3420000002</v>
      </c>
      <c r="K33" s="85">
        <v>3450918.7489999998</v>
      </c>
      <c r="L33" s="85">
        <v>3592374.0460000001</v>
      </c>
      <c r="M33" s="85">
        <v>3842705.818</v>
      </c>
      <c r="N33" s="85">
        <v>4063782.9270000001</v>
      </c>
      <c r="O33" s="85">
        <v>3904546.43</v>
      </c>
      <c r="P33" s="85">
        <v>3265790.5040000002</v>
      </c>
      <c r="Q33" s="85">
        <v>3042357.8689999999</v>
      </c>
      <c r="R33" s="85">
        <v>3282518.2370000002</v>
      </c>
      <c r="S33" s="85">
        <v>2895065.4440000001</v>
      </c>
      <c r="T33" s="85">
        <v>2715996.5959999999</v>
      </c>
      <c r="U33" s="85">
        <v>2722445.2119999998</v>
      </c>
      <c r="V33" s="85">
        <v>2766701.7820000001</v>
      </c>
      <c r="W33" s="85">
        <v>2778394.4350000001</v>
      </c>
      <c r="X33" s="85">
        <v>2856164.3480000002</v>
      </c>
      <c r="Y33" s="85">
        <v>2988363.1639999999</v>
      </c>
      <c r="Z33" s="85">
        <v>3063725.6639999999</v>
      </c>
      <c r="AA33" s="14"/>
    </row>
    <row r="34" spans="2:27">
      <c r="B34" s="13"/>
      <c r="C34" s="83" t="s">
        <v>93</v>
      </c>
      <c r="D34" s="83" t="s">
        <v>297</v>
      </c>
      <c r="E34" s="83" t="s">
        <v>86</v>
      </c>
      <c r="F34" s="83" t="s">
        <v>34</v>
      </c>
      <c r="G34" s="85">
        <v>1601755.1</v>
      </c>
      <c r="H34" s="85">
        <v>1657929.0149999999</v>
      </c>
      <c r="I34" s="85">
        <v>1617165.26</v>
      </c>
      <c r="J34" s="85">
        <v>1649373.2009999999</v>
      </c>
      <c r="K34" s="85">
        <v>1711811.16</v>
      </c>
      <c r="L34" s="85">
        <v>1730825.7749999999</v>
      </c>
      <c r="M34" s="85">
        <v>1765999.865</v>
      </c>
      <c r="N34" s="85">
        <v>1702005.5390000001</v>
      </c>
      <c r="O34" s="85">
        <v>1712767.3419999999</v>
      </c>
      <c r="P34" s="85">
        <v>1567277.4809999999</v>
      </c>
      <c r="Q34" s="85">
        <v>1545916.4180000001</v>
      </c>
      <c r="R34" s="85">
        <v>1510817.3</v>
      </c>
      <c r="S34" s="85">
        <v>1469171.8529999999</v>
      </c>
      <c r="T34" s="85">
        <v>1451268.4439999999</v>
      </c>
      <c r="U34" s="85">
        <v>1377375.355</v>
      </c>
      <c r="V34" s="85">
        <v>1392369.4639999999</v>
      </c>
      <c r="W34" s="85">
        <v>1325504.0859999999</v>
      </c>
      <c r="X34" s="85">
        <v>1398153.1059999999</v>
      </c>
      <c r="Y34" s="85">
        <v>1413931.4990000001</v>
      </c>
      <c r="Z34" s="85">
        <v>1370090.925</v>
      </c>
      <c r="AA34" s="14"/>
    </row>
    <row r="35" spans="2:27">
      <c r="B35" s="13"/>
      <c r="C35" s="83" t="s">
        <v>94</v>
      </c>
      <c r="D35" s="83" t="s">
        <v>298</v>
      </c>
      <c r="E35" s="83" t="s">
        <v>82</v>
      </c>
      <c r="F35" s="83" t="s">
        <v>14</v>
      </c>
      <c r="G35" s="85">
        <v>8742470.6190000009</v>
      </c>
      <c r="H35" s="85">
        <v>8943981.2400000002</v>
      </c>
      <c r="I35" s="85">
        <v>8930502.0720000006</v>
      </c>
      <c r="J35" s="85">
        <v>8966848.6429999992</v>
      </c>
      <c r="K35" s="85">
        <v>9298679.4710000008</v>
      </c>
      <c r="L35" s="85">
        <v>9416966.0989999995</v>
      </c>
      <c r="M35" s="85">
        <v>9832284.6960000005</v>
      </c>
      <c r="N35" s="85">
        <v>10197670.049000001</v>
      </c>
      <c r="O35" s="85">
        <v>10122386.719000001</v>
      </c>
      <c r="P35" s="85">
        <v>8793681.9920000006</v>
      </c>
      <c r="Q35" s="85">
        <v>8526923.2060000002</v>
      </c>
      <c r="R35" s="85">
        <v>8861980.5380000006</v>
      </c>
      <c r="S35" s="85">
        <v>8299868.6440000003</v>
      </c>
      <c r="T35" s="85">
        <v>8170023.6490000002</v>
      </c>
      <c r="U35" s="85">
        <v>8239753.4529999997</v>
      </c>
      <c r="V35" s="85">
        <v>8233831.2220000001</v>
      </c>
      <c r="W35" s="85">
        <v>8180776.1720000003</v>
      </c>
      <c r="X35" s="85">
        <v>8694468.2349999994</v>
      </c>
      <c r="Y35" s="85">
        <v>8812134.3780000005</v>
      </c>
      <c r="Z35" s="85">
        <v>8744778.2949999999</v>
      </c>
      <c r="AA35" s="14"/>
    </row>
    <row r="36" spans="2:27">
      <c r="B36" s="13"/>
      <c r="C36" s="83" t="s">
        <v>94</v>
      </c>
      <c r="D36" s="83" t="s">
        <v>298</v>
      </c>
      <c r="E36" s="83" t="s">
        <v>83</v>
      </c>
      <c r="F36" s="83" t="s">
        <v>31</v>
      </c>
      <c r="G36" s="85">
        <v>1705564.9129999999</v>
      </c>
      <c r="H36" s="85">
        <v>1684103.1669999999</v>
      </c>
      <c r="I36" s="85">
        <v>1683055.037</v>
      </c>
      <c r="J36" s="85">
        <v>1563769.9480000001</v>
      </c>
      <c r="K36" s="85">
        <v>1751009.2439999999</v>
      </c>
      <c r="L36" s="85">
        <v>1685049.6869999999</v>
      </c>
      <c r="M36" s="85">
        <v>1616331.7309999999</v>
      </c>
      <c r="N36" s="85">
        <v>1695441.656</v>
      </c>
      <c r="O36" s="85">
        <v>1736455.7479999999</v>
      </c>
      <c r="P36" s="85">
        <v>1664460.0390000001</v>
      </c>
      <c r="Q36" s="85">
        <v>1618703.791</v>
      </c>
      <c r="R36" s="85">
        <v>1707059.547</v>
      </c>
      <c r="S36" s="85">
        <v>1641199.7649999999</v>
      </c>
      <c r="T36" s="85">
        <v>1686127.675</v>
      </c>
      <c r="U36" s="85">
        <v>1798506.983</v>
      </c>
      <c r="V36" s="85">
        <v>1685900.0079999999</v>
      </c>
      <c r="W36" s="85">
        <v>1726811.4129999999</v>
      </c>
      <c r="X36" s="85">
        <v>1784397.2390000001</v>
      </c>
      <c r="Y36" s="85">
        <v>1738762.0020000001</v>
      </c>
      <c r="Z36" s="85">
        <v>1739712.635</v>
      </c>
      <c r="AA36" s="14"/>
    </row>
    <row r="37" spans="2:27">
      <c r="B37" s="13"/>
      <c r="C37" s="83" t="s">
        <v>94</v>
      </c>
      <c r="D37" s="83" t="s">
        <v>298</v>
      </c>
      <c r="E37" s="83" t="s">
        <v>84</v>
      </c>
      <c r="F37" s="83" t="s">
        <v>32</v>
      </c>
      <c r="G37" s="85">
        <v>1148395.6399999999</v>
      </c>
      <c r="H37" s="85">
        <v>1206756.43</v>
      </c>
      <c r="I37" s="85">
        <v>1212470.3160000001</v>
      </c>
      <c r="J37" s="85">
        <v>1213010.07</v>
      </c>
      <c r="K37" s="85">
        <v>1230841.2379999999</v>
      </c>
      <c r="L37" s="85">
        <v>1224804.696</v>
      </c>
      <c r="M37" s="85">
        <v>1361446.0649999999</v>
      </c>
      <c r="N37" s="85">
        <v>1380959.933</v>
      </c>
      <c r="O37" s="85">
        <v>1402819.2690000001</v>
      </c>
      <c r="P37" s="85">
        <v>1028950.9840000001</v>
      </c>
      <c r="Q37" s="85">
        <v>1184478.5349999999</v>
      </c>
      <c r="R37" s="85">
        <v>1197376.8729999999</v>
      </c>
      <c r="S37" s="85">
        <v>1119338.466</v>
      </c>
      <c r="T37" s="85">
        <v>1160775.335</v>
      </c>
      <c r="U37" s="85">
        <v>1183788.3700000001</v>
      </c>
      <c r="V37" s="85">
        <v>1182250.7390000001</v>
      </c>
      <c r="W37" s="85">
        <v>1199220.0279999999</v>
      </c>
      <c r="X37" s="85">
        <v>1249256.169</v>
      </c>
      <c r="Y37" s="85">
        <v>1290449</v>
      </c>
      <c r="Z37" s="85">
        <v>1205088.534</v>
      </c>
      <c r="AA37" s="14"/>
    </row>
    <row r="38" spans="2:27">
      <c r="B38" s="13"/>
      <c r="C38" s="83" t="s">
        <v>94</v>
      </c>
      <c r="D38" s="83" t="s">
        <v>298</v>
      </c>
      <c r="E38" s="83" t="s">
        <v>85</v>
      </c>
      <c r="F38" s="83" t="s">
        <v>33</v>
      </c>
      <c r="G38" s="85">
        <v>3575760</v>
      </c>
      <c r="H38" s="85">
        <v>3670646.1970000002</v>
      </c>
      <c r="I38" s="85">
        <v>3688080.5970000001</v>
      </c>
      <c r="J38" s="85">
        <v>3793697.6690000002</v>
      </c>
      <c r="K38" s="85">
        <v>3858245.7519999999</v>
      </c>
      <c r="L38" s="85">
        <v>4016019.2209999999</v>
      </c>
      <c r="M38" s="85">
        <v>4306760.8849999998</v>
      </c>
      <c r="N38" s="85">
        <v>4585814.8169999998</v>
      </c>
      <c r="O38" s="85">
        <v>4429485.108</v>
      </c>
      <c r="P38" s="85">
        <v>3810151.034</v>
      </c>
      <c r="Q38" s="85">
        <v>3461089.4530000002</v>
      </c>
      <c r="R38" s="85">
        <v>3724435.8319999999</v>
      </c>
      <c r="S38" s="85">
        <v>3299927.7689999999</v>
      </c>
      <c r="T38" s="85">
        <v>3119670.5090000001</v>
      </c>
      <c r="U38" s="85">
        <v>3137272.787</v>
      </c>
      <c r="V38" s="85">
        <v>3208884.7960000001</v>
      </c>
      <c r="W38" s="85">
        <v>3197514.1609999998</v>
      </c>
      <c r="X38" s="85">
        <v>3470318.7620000001</v>
      </c>
      <c r="Y38" s="85">
        <v>3562103.449</v>
      </c>
      <c r="Z38" s="85">
        <v>3662815.9789999998</v>
      </c>
      <c r="AA38" s="14"/>
    </row>
    <row r="39" spans="2:27">
      <c r="B39" s="13"/>
      <c r="C39" s="83" t="s">
        <v>94</v>
      </c>
      <c r="D39" s="83" t="s">
        <v>298</v>
      </c>
      <c r="E39" s="83" t="s">
        <v>86</v>
      </c>
      <c r="F39" s="83" t="s">
        <v>34</v>
      </c>
      <c r="G39" s="85">
        <v>2312750.0660000001</v>
      </c>
      <c r="H39" s="85">
        <v>2382475.446</v>
      </c>
      <c r="I39" s="85">
        <v>2346896.1230000001</v>
      </c>
      <c r="J39" s="85">
        <v>2396370.9559999998</v>
      </c>
      <c r="K39" s="85">
        <v>2458583.2379999999</v>
      </c>
      <c r="L39" s="85">
        <v>2491092.4950000001</v>
      </c>
      <c r="M39" s="85">
        <v>2547746.0159999998</v>
      </c>
      <c r="N39" s="85">
        <v>2535453.642</v>
      </c>
      <c r="O39" s="85">
        <v>2553626.5929999999</v>
      </c>
      <c r="P39" s="85">
        <v>2290119.9350000001</v>
      </c>
      <c r="Q39" s="85">
        <v>2262651.4270000001</v>
      </c>
      <c r="R39" s="85">
        <v>2233108.2859999998</v>
      </c>
      <c r="S39" s="85">
        <v>2239402.6430000002</v>
      </c>
      <c r="T39" s="85">
        <v>2203450.13</v>
      </c>
      <c r="U39" s="85">
        <v>2120185.3130000001</v>
      </c>
      <c r="V39" s="85">
        <v>2156795.6779999998</v>
      </c>
      <c r="W39" s="85">
        <v>2057230.57</v>
      </c>
      <c r="X39" s="85">
        <v>2190496.0639999998</v>
      </c>
      <c r="Y39" s="85">
        <v>2220819.926</v>
      </c>
      <c r="Z39" s="85">
        <v>2137161.1469999999</v>
      </c>
      <c r="AA39" s="14"/>
    </row>
    <row r="40" spans="2:27">
      <c r="B40" s="13"/>
      <c r="C40" s="86"/>
      <c r="D40" s="86"/>
      <c r="E40" s="86"/>
      <c r="F40" s="86"/>
      <c r="G40" s="147"/>
      <c r="H40" s="147"/>
      <c r="I40" s="147"/>
      <c r="J40" s="147"/>
      <c r="K40" s="147"/>
      <c r="L40" s="147"/>
      <c r="M40" s="147"/>
      <c r="N40" s="147"/>
      <c r="O40" s="147"/>
      <c r="P40" s="147"/>
      <c r="Q40" s="147"/>
      <c r="R40" s="147"/>
      <c r="S40" s="147"/>
      <c r="T40" s="147"/>
      <c r="U40" s="147"/>
      <c r="V40" s="147"/>
      <c r="W40" s="147"/>
      <c r="X40" s="147"/>
      <c r="Y40" s="147"/>
      <c r="Z40" s="147"/>
      <c r="AA40" s="14"/>
    </row>
    <row r="41" spans="2:27">
      <c r="B41" s="13"/>
      <c r="C41" s="86" t="s">
        <v>38</v>
      </c>
      <c r="D41" s="86"/>
      <c r="E41" s="86"/>
      <c r="F41" s="87"/>
      <c r="G41" s="147"/>
      <c r="H41" s="147"/>
      <c r="I41" s="147"/>
      <c r="J41" s="147"/>
      <c r="K41" s="147"/>
      <c r="L41" s="147"/>
      <c r="M41" s="147"/>
      <c r="N41" s="147"/>
      <c r="O41" s="147"/>
      <c r="P41" s="147"/>
      <c r="Q41" s="147"/>
      <c r="R41" s="147"/>
      <c r="S41" s="147"/>
      <c r="T41" s="147"/>
      <c r="U41" s="147"/>
      <c r="V41" s="147"/>
      <c r="W41" s="147"/>
      <c r="X41" s="147"/>
      <c r="Y41" s="147"/>
      <c r="Z41" s="147"/>
      <c r="AA41" s="14"/>
    </row>
    <row r="42" spans="2:27">
      <c r="B42" s="13"/>
      <c r="C42" s="86" t="s">
        <v>36</v>
      </c>
      <c r="D42" s="86" t="s">
        <v>39</v>
      </c>
      <c r="E42" s="86"/>
      <c r="G42" s="147"/>
      <c r="H42" s="147"/>
      <c r="I42" s="147"/>
      <c r="J42" s="147"/>
      <c r="K42" s="147"/>
      <c r="L42" s="147"/>
      <c r="M42" s="147"/>
      <c r="N42" s="147"/>
      <c r="O42" s="147"/>
      <c r="P42" s="147"/>
      <c r="Q42" s="147"/>
      <c r="R42" s="147"/>
      <c r="S42" s="147"/>
      <c r="T42" s="147"/>
      <c r="U42" s="147"/>
      <c r="V42" s="147"/>
      <c r="W42" s="147"/>
      <c r="X42" s="147"/>
      <c r="Y42" s="147"/>
      <c r="Z42" s="147"/>
      <c r="AA42" s="14"/>
    </row>
    <row r="43" spans="2:27">
      <c r="B43" s="13"/>
      <c r="C43" s="86"/>
      <c r="D43" s="86"/>
      <c r="E43" s="86"/>
      <c r="F43" s="86"/>
      <c r="G43" s="147"/>
      <c r="H43" s="147"/>
      <c r="I43" s="147"/>
      <c r="J43" s="147"/>
      <c r="K43" s="147"/>
      <c r="L43" s="147"/>
      <c r="M43" s="147"/>
      <c r="N43" s="147"/>
      <c r="O43" s="147"/>
      <c r="P43" s="147"/>
      <c r="Q43" s="147"/>
      <c r="R43" s="147"/>
      <c r="S43" s="147"/>
      <c r="T43" s="147"/>
      <c r="U43" s="147"/>
      <c r="V43" s="147"/>
      <c r="W43" s="147"/>
      <c r="X43" s="147"/>
      <c r="Y43" s="147"/>
      <c r="Z43" s="147"/>
      <c r="AA43" s="14"/>
    </row>
    <row r="44" spans="2:27" ht="14">
      <c r="B44" s="13"/>
      <c r="C44" s="157" t="s">
        <v>13</v>
      </c>
      <c r="D44" s="157" t="s">
        <v>114</v>
      </c>
      <c r="E44" s="156"/>
      <c r="F44" s="86"/>
      <c r="G44" s="147"/>
      <c r="H44" s="147"/>
      <c r="I44" s="147"/>
      <c r="J44" s="147"/>
      <c r="K44" s="147"/>
      <c r="L44" s="147"/>
      <c r="M44" s="147"/>
      <c r="N44" s="147"/>
      <c r="O44" s="147"/>
      <c r="P44" s="147"/>
      <c r="Q44" s="147"/>
      <c r="R44" s="147"/>
      <c r="S44" s="147"/>
      <c r="T44" s="147"/>
      <c r="U44" s="147"/>
      <c r="V44" s="147"/>
      <c r="W44" s="147"/>
      <c r="X44" s="147"/>
      <c r="Y44" s="147"/>
      <c r="Z44" s="147"/>
      <c r="AA44" s="14"/>
    </row>
    <row r="45" spans="2:27" ht="14">
      <c r="B45" s="13"/>
      <c r="C45" s="157" t="s">
        <v>15</v>
      </c>
      <c r="D45" s="157" t="s">
        <v>303</v>
      </c>
      <c r="E45" s="156"/>
      <c r="F45" s="86"/>
      <c r="G45" s="147"/>
      <c r="H45" s="147"/>
      <c r="I45" s="147"/>
      <c r="J45" s="147"/>
      <c r="K45" s="147"/>
      <c r="L45" s="147"/>
      <c r="M45" s="147"/>
      <c r="N45" s="147"/>
      <c r="O45" s="147"/>
      <c r="P45" s="147"/>
      <c r="Q45" s="147"/>
      <c r="R45" s="147"/>
      <c r="S45" s="147"/>
      <c r="T45" s="147"/>
      <c r="U45" s="147"/>
      <c r="V45" s="147"/>
      <c r="W45" s="147"/>
      <c r="X45" s="147"/>
      <c r="Y45" s="147"/>
      <c r="Z45" s="147"/>
      <c r="AA45" s="14"/>
    </row>
    <row r="46" spans="2:27">
      <c r="B46" s="13"/>
      <c r="C46" s="86"/>
      <c r="D46" s="86"/>
      <c r="E46" s="86"/>
      <c r="F46" s="86"/>
      <c r="G46" s="147"/>
      <c r="H46" s="147"/>
      <c r="I46" s="147"/>
      <c r="J46" s="147"/>
      <c r="K46" s="147"/>
      <c r="L46" s="147"/>
      <c r="M46" s="147"/>
      <c r="N46" s="147"/>
      <c r="O46" s="147"/>
      <c r="P46" s="147"/>
      <c r="Q46" s="147"/>
      <c r="R46" s="147"/>
      <c r="S46" s="147"/>
      <c r="T46" s="147"/>
      <c r="U46" s="147"/>
      <c r="V46" s="147"/>
      <c r="W46" s="147"/>
      <c r="X46" s="147"/>
      <c r="Y46" s="147"/>
      <c r="Z46" s="147"/>
      <c r="AA46" s="14"/>
    </row>
    <row r="47" spans="2:27">
      <c r="B47" s="13"/>
      <c r="C47" s="151" t="s">
        <v>115</v>
      </c>
      <c r="D47" s="151" t="s">
        <v>116</v>
      </c>
      <c r="E47" s="151" t="s">
        <v>78</v>
      </c>
      <c r="F47" s="151" t="s">
        <v>79</v>
      </c>
      <c r="G47" s="276">
        <v>2000</v>
      </c>
      <c r="H47" s="276">
        <v>2001</v>
      </c>
      <c r="I47" s="276">
        <v>2002</v>
      </c>
      <c r="J47" s="276">
        <v>2003</v>
      </c>
      <c r="K47" s="276">
        <v>2004</v>
      </c>
      <c r="L47" s="276">
        <v>2005</v>
      </c>
      <c r="M47" s="276">
        <v>2006</v>
      </c>
      <c r="N47" s="276">
        <v>2007</v>
      </c>
      <c r="O47" s="276">
        <v>2008</v>
      </c>
      <c r="P47" s="276">
        <v>2009</v>
      </c>
      <c r="Q47" s="276">
        <v>2010</v>
      </c>
      <c r="R47" s="276">
        <v>2011</v>
      </c>
      <c r="S47" s="276">
        <v>2012</v>
      </c>
      <c r="T47" s="276">
        <v>2013</v>
      </c>
      <c r="U47" s="276">
        <v>2014</v>
      </c>
      <c r="V47" s="276">
        <v>2015</v>
      </c>
      <c r="W47" s="276">
        <v>2016</v>
      </c>
      <c r="X47" s="276">
        <v>2017</v>
      </c>
      <c r="Y47" s="276">
        <v>2018</v>
      </c>
      <c r="Z47" s="276">
        <v>2019</v>
      </c>
      <c r="AA47" s="14"/>
    </row>
    <row r="48" spans="2:27">
      <c r="B48" s="13"/>
      <c r="C48" s="151" t="s">
        <v>80</v>
      </c>
      <c r="D48" s="151" t="s">
        <v>1</v>
      </c>
      <c r="E48" s="151" t="s">
        <v>82</v>
      </c>
      <c r="F48" s="151" t="s">
        <v>14</v>
      </c>
      <c r="G48" s="159">
        <v>12.948</v>
      </c>
      <c r="H48" s="159">
        <v>13.037000000000001</v>
      </c>
      <c r="I48" s="159">
        <v>13.048999999999999</v>
      </c>
      <c r="J48" s="159">
        <v>12.988</v>
      </c>
      <c r="K48" s="159">
        <v>13.595000000000001</v>
      </c>
      <c r="L48" s="159">
        <v>13.685</v>
      </c>
      <c r="M48" s="159">
        <v>13.992000000000001</v>
      </c>
      <c r="N48" s="159">
        <v>14.535</v>
      </c>
      <c r="O48" s="159">
        <v>14.231</v>
      </c>
      <c r="P48" s="159">
        <v>12.676</v>
      </c>
      <c r="Q48" s="159">
        <v>12.105</v>
      </c>
      <c r="R48" s="159">
        <v>12.871</v>
      </c>
      <c r="S48" s="159">
        <v>11.904999999999999</v>
      </c>
      <c r="T48" s="159">
        <v>11.622</v>
      </c>
      <c r="U48" s="159">
        <v>11.71</v>
      </c>
      <c r="V48" s="159">
        <v>11.532999999999999</v>
      </c>
      <c r="W48" s="159">
        <v>11.496</v>
      </c>
      <c r="X48" s="159">
        <v>11.882</v>
      </c>
      <c r="Y48" s="159">
        <v>11.946</v>
      </c>
      <c r="Z48" s="159">
        <v>11.917</v>
      </c>
      <c r="AA48" s="14"/>
    </row>
    <row r="49" spans="2:27">
      <c r="B49" s="13"/>
      <c r="C49" s="151" t="s">
        <v>80</v>
      </c>
      <c r="D49" s="151" t="s">
        <v>1</v>
      </c>
      <c r="E49" s="151" t="s">
        <v>83</v>
      </c>
      <c r="F49" s="151" t="s">
        <v>31</v>
      </c>
      <c r="G49" s="159">
        <v>3.4209999999999998</v>
      </c>
      <c r="H49" s="159">
        <v>3.3690000000000002</v>
      </c>
      <c r="I49" s="159">
        <v>3.3639999999999999</v>
      </c>
      <c r="J49" s="159">
        <v>3.1040000000000001</v>
      </c>
      <c r="K49" s="159">
        <v>3.5390000000000001</v>
      </c>
      <c r="L49" s="159">
        <v>3.379</v>
      </c>
      <c r="M49" s="159">
        <v>3.1949999999999998</v>
      </c>
      <c r="N49" s="159">
        <v>3.2949999999999999</v>
      </c>
      <c r="O49" s="159">
        <v>3.3820000000000001</v>
      </c>
      <c r="P49" s="159">
        <v>3.3079999999999998</v>
      </c>
      <c r="Q49" s="159">
        <v>3.222</v>
      </c>
      <c r="R49" s="159">
        <v>3.3820000000000001</v>
      </c>
      <c r="S49" s="159">
        <v>3.2440000000000002</v>
      </c>
      <c r="T49" s="159">
        <v>3.3380000000000001</v>
      </c>
      <c r="U49" s="159">
        <v>3.556</v>
      </c>
      <c r="V49" s="159">
        <v>3.3069999999999999</v>
      </c>
      <c r="W49" s="159">
        <v>3.359</v>
      </c>
      <c r="X49" s="159">
        <v>3.45</v>
      </c>
      <c r="Y49" s="159">
        <v>3.3149999999999999</v>
      </c>
      <c r="Z49" s="159">
        <v>3.3069999999999999</v>
      </c>
      <c r="AA49" s="14"/>
    </row>
    <row r="50" spans="2:27">
      <c r="B50" s="13"/>
      <c r="C50" s="151" t="s">
        <v>80</v>
      </c>
      <c r="D50" s="151" t="s">
        <v>1</v>
      </c>
      <c r="E50" s="151" t="s">
        <v>84</v>
      </c>
      <c r="F50" s="151" t="s">
        <v>32</v>
      </c>
      <c r="G50" s="159">
        <v>0.35099999999999998</v>
      </c>
      <c r="H50" s="159">
        <v>0.33700000000000002</v>
      </c>
      <c r="I50" s="159">
        <v>0.32500000000000001</v>
      </c>
      <c r="J50" s="159">
        <v>0.31900000000000001</v>
      </c>
      <c r="K50" s="159">
        <v>0.32200000000000001</v>
      </c>
      <c r="L50" s="159">
        <v>0.32</v>
      </c>
      <c r="M50" s="159">
        <v>0.32700000000000001</v>
      </c>
      <c r="N50" s="159">
        <v>0.31900000000000001</v>
      </c>
      <c r="O50" s="159">
        <v>0.31900000000000001</v>
      </c>
      <c r="P50" s="159">
        <v>0.31</v>
      </c>
      <c r="Q50" s="159">
        <v>0.372</v>
      </c>
      <c r="R50" s="159">
        <v>0.38800000000000001</v>
      </c>
      <c r="S50" s="159">
        <v>0.41799999999999998</v>
      </c>
      <c r="T50" s="159">
        <v>0.48299999999999998</v>
      </c>
      <c r="U50" s="159">
        <v>0.42699999999999999</v>
      </c>
      <c r="V50" s="159">
        <v>0.42599999999999999</v>
      </c>
      <c r="W50" s="159">
        <v>0.46400000000000002</v>
      </c>
      <c r="X50" s="159">
        <v>0.47399999999999998</v>
      </c>
      <c r="Y50" s="159">
        <v>0.49</v>
      </c>
      <c r="Z50" s="159">
        <v>0.49099999999999999</v>
      </c>
      <c r="AA50" s="14"/>
    </row>
    <row r="51" spans="2:27">
      <c r="B51" s="13"/>
      <c r="C51" s="151" t="s">
        <v>80</v>
      </c>
      <c r="D51" s="151" t="s">
        <v>1</v>
      </c>
      <c r="E51" s="151" t="s">
        <v>85</v>
      </c>
      <c r="F51" s="151" t="s">
        <v>33</v>
      </c>
      <c r="G51" s="159">
        <v>7.3559999999999999</v>
      </c>
      <c r="H51" s="159">
        <v>7.492</v>
      </c>
      <c r="I51" s="159">
        <v>7.532</v>
      </c>
      <c r="J51" s="159">
        <v>7.7389999999999999</v>
      </c>
      <c r="K51" s="159">
        <v>7.9169999999999998</v>
      </c>
      <c r="L51" s="159">
        <v>8.2159999999999993</v>
      </c>
      <c r="M51" s="159">
        <v>8.7309999999999999</v>
      </c>
      <c r="N51" s="159">
        <v>9.2289999999999992</v>
      </c>
      <c r="O51" s="159">
        <v>8.8840000000000003</v>
      </c>
      <c r="P51" s="159">
        <v>7.5</v>
      </c>
      <c r="Q51" s="159">
        <v>6.9580000000000002</v>
      </c>
      <c r="R51" s="159">
        <v>7.5039999999999996</v>
      </c>
      <c r="S51" s="159">
        <v>6.657</v>
      </c>
      <c r="T51" s="159">
        <v>6.2750000000000004</v>
      </c>
      <c r="U51" s="159">
        <v>6.2839999999999998</v>
      </c>
      <c r="V51" s="159">
        <v>6.4119999999999999</v>
      </c>
      <c r="W51" s="159">
        <v>6.3849999999999998</v>
      </c>
      <c r="X51" s="159">
        <v>6.6680000000000001</v>
      </c>
      <c r="Y51" s="159">
        <v>6.883</v>
      </c>
      <c r="Z51" s="159">
        <v>7.0490000000000004</v>
      </c>
      <c r="AA51" s="14"/>
    </row>
    <row r="52" spans="2:27">
      <c r="B52" s="13"/>
      <c r="C52" s="151" t="s">
        <v>80</v>
      </c>
      <c r="D52" s="151" t="s">
        <v>1</v>
      </c>
      <c r="E52" s="151" t="s">
        <v>86</v>
      </c>
      <c r="F52" s="151" t="s">
        <v>34</v>
      </c>
      <c r="G52" s="159">
        <v>1.821</v>
      </c>
      <c r="H52" s="159">
        <v>1.839</v>
      </c>
      <c r="I52" s="159">
        <v>1.829</v>
      </c>
      <c r="J52" s="159">
        <v>1.825</v>
      </c>
      <c r="K52" s="159">
        <v>1.8160000000000001</v>
      </c>
      <c r="L52" s="159">
        <v>1.77</v>
      </c>
      <c r="M52" s="159">
        <v>1.7390000000000001</v>
      </c>
      <c r="N52" s="159">
        <v>1.6930000000000001</v>
      </c>
      <c r="O52" s="159">
        <v>1.6459999999999999</v>
      </c>
      <c r="P52" s="159">
        <v>1.5569999999999999</v>
      </c>
      <c r="Q52" s="159">
        <v>1.5529999999999999</v>
      </c>
      <c r="R52" s="159">
        <v>1.597</v>
      </c>
      <c r="S52" s="159">
        <v>1.5860000000000001</v>
      </c>
      <c r="T52" s="159">
        <v>1.526</v>
      </c>
      <c r="U52" s="159">
        <v>1.444</v>
      </c>
      <c r="V52" s="159">
        <v>1.3879999999999999</v>
      </c>
      <c r="W52" s="159">
        <v>1.2889999999999999</v>
      </c>
      <c r="X52" s="159">
        <v>1.2889999999999999</v>
      </c>
      <c r="Y52" s="159">
        <v>1.258</v>
      </c>
      <c r="Z52" s="159">
        <v>1.07</v>
      </c>
      <c r="AA52" s="14"/>
    </row>
    <row r="53" spans="2:27">
      <c r="B53" s="13"/>
      <c r="C53" s="151" t="s">
        <v>91</v>
      </c>
      <c r="D53" s="151" t="s">
        <v>112</v>
      </c>
      <c r="E53" s="151" t="s">
        <v>82</v>
      </c>
      <c r="F53" s="151" t="s">
        <v>14</v>
      </c>
      <c r="G53" s="159">
        <v>7.4340000000000002</v>
      </c>
      <c r="H53" s="159">
        <v>7.7880000000000003</v>
      </c>
      <c r="I53" s="159">
        <v>7.6970000000000001</v>
      </c>
      <c r="J53" s="159">
        <v>7.77</v>
      </c>
      <c r="K53" s="159">
        <v>7.851</v>
      </c>
      <c r="L53" s="159">
        <v>7.9580000000000002</v>
      </c>
      <c r="M53" s="159">
        <v>8.532</v>
      </c>
      <c r="N53" s="159">
        <v>8.7479999999999993</v>
      </c>
      <c r="O53" s="159">
        <v>8.8059999999999992</v>
      </c>
      <c r="P53" s="159">
        <v>7.29</v>
      </c>
      <c r="Q53" s="159">
        <v>7.2279999999999998</v>
      </c>
      <c r="R53" s="159">
        <v>7.258</v>
      </c>
      <c r="S53" s="159">
        <v>6.92</v>
      </c>
      <c r="T53" s="159">
        <v>6.8639999999999999</v>
      </c>
      <c r="U53" s="159">
        <v>6.8780000000000001</v>
      </c>
      <c r="V53" s="159">
        <v>7.0019999999999998</v>
      </c>
      <c r="W53" s="159">
        <v>6.88</v>
      </c>
      <c r="X53" s="159">
        <v>7.6180000000000003</v>
      </c>
      <c r="Y53" s="159">
        <v>7.7859999999999996</v>
      </c>
      <c r="Z53" s="159">
        <v>7.6509999999999998</v>
      </c>
      <c r="AA53" s="14"/>
    </row>
    <row r="54" spans="2:27">
      <c r="B54" s="13"/>
      <c r="C54" s="151" t="s">
        <v>91</v>
      </c>
      <c r="D54" s="151" t="s">
        <v>112</v>
      </c>
      <c r="E54" s="151" t="s">
        <v>83</v>
      </c>
      <c r="F54" s="151" t="s">
        <v>31</v>
      </c>
      <c r="G54" s="159">
        <v>0.55500000000000005</v>
      </c>
      <c r="H54" s="159">
        <v>0.55200000000000005</v>
      </c>
      <c r="I54" s="159">
        <v>0.54600000000000004</v>
      </c>
      <c r="J54" s="159">
        <v>0.51600000000000001</v>
      </c>
      <c r="K54" s="159">
        <v>0.5</v>
      </c>
      <c r="L54" s="159">
        <v>0.49399999999999999</v>
      </c>
      <c r="M54" s="159">
        <v>0.50800000000000001</v>
      </c>
      <c r="N54" s="159">
        <v>0.57599999999999996</v>
      </c>
      <c r="O54" s="159">
        <v>0.56999999999999995</v>
      </c>
      <c r="P54" s="159">
        <v>0.47099999999999997</v>
      </c>
      <c r="Q54" s="159">
        <v>0.44800000000000001</v>
      </c>
      <c r="R54" s="159">
        <v>0.495</v>
      </c>
      <c r="S54" s="159">
        <v>0.47799999999999998</v>
      </c>
      <c r="T54" s="159">
        <v>0.47699999999999998</v>
      </c>
      <c r="U54" s="159">
        <v>0.502</v>
      </c>
      <c r="V54" s="159">
        <v>0.48799999999999999</v>
      </c>
      <c r="W54" s="159">
        <v>0.52</v>
      </c>
      <c r="X54" s="159">
        <v>0.55200000000000005</v>
      </c>
      <c r="Y54" s="159">
        <v>0.57799999999999996</v>
      </c>
      <c r="Z54" s="159">
        <v>0.58599999999999997</v>
      </c>
      <c r="AA54" s="14"/>
    </row>
    <row r="55" spans="2:27">
      <c r="B55" s="13"/>
      <c r="C55" s="151" t="s">
        <v>91</v>
      </c>
      <c r="D55" s="151" t="s">
        <v>112</v>
      </c>
      <c r="E55" s="151" t="s">
        <v>84</v>
      </c>
      <c r="F55" s="151" t="s">
        <v>32</v>
      </c>
      <c r="G55" s="159">
        <v>2.327</v>
      </c>
      <c r="H55" s="159">
        <v>2.4729999999999999</v>
      </c>
      <c r="I55" s="159">
        <v>2.492</v>
      </c>
      <c r="J55" s="159">
        <v>2.4889999999999999</v>
      </c>
      <c r="K55" s="159">
        <v>2.516</v>
      </c>
      <c r="L55" s="159">
        <v>2.4950000000000001</v>
      </c>
      <c r="M55" s="159">
        <v>2.7919999999999998</v>
      </c>
      <c r="N55" s="159">
        <v>2.8340000000000001</v>
      </c>
      <c r="O55" s="159">
        <v>2.8740000000000001</v>
      </c>
      <c r="P55" s="159">
        <v>2.0259999999999998</v>
      </c>
      <c r="Q55" s="159">
        <v>2.3140000000000001</v>
      </c>
      <c r="R55" s="159">
        <v>2.3319999999999999</v>
      </c>
      <c r="S55" s="159">
        <v>2.12</v>
      </c>
      <c r="T55" s="159">
        <v>2.1429999999999998</v>
      </c>
      <c r="U55" s="159">
        <v>2.2440000000000002</v>
      </c>
      <c r="V55" s="159">
        <v>2.2349999999999999</v>
      </c>
      <c r="W55" s="159">
        <v>2.23</v>
      </c>
      <c r="X55" s="159">
        <v>2.3279999999999998</v>
      </c>
      <c r="Y55" s="159">
        <v>2.4</v>
      </c>
      <c r="Z55" s="159">
        <v>2.2050000000000001</v>
      </c>
      <c r="AA55" s="14"/>
    </row>
    <row r="56" spans="2:27">
      <c r="B56" s="13"/>
      <c r="C56" s="151" t="s">
        <v>91</v>
      </c>
      <c r="D56" s="151" t="s">
        <v>112</v>
      </c>
      <c r="E56" s="151" t="s">
        <v>85</v>
      </c>
      <c r="F56" s="151" t="s">
        <v>33</v>
      </c>
      <c r="G56" s="159">
        <v>0.98099999999999998</v>
      </c>
      <c r="H56" s="159">
        <v>1.0549999999999999</v>
      </c>
      <c r="I56" s="159">
        <v>1.036</v>
      </c>
      <c r="J56" s="159">
        <v>1.0429999999999999</v>
      </c>
      <c r="K56" s="159">
        <v>0.98099999999999998</v>
      </c>
      <c r="L56" s="159">
        <v>1.014</v>
      </c>
      <c r="M56" s="159">
        <v>1.135</v>
      </c>
      <c r="N56" s="159">
        <v>1.242</v>
      </c>
      <c r="O56" s="159">
        <v>1.1970000000000001</v>
      </c>
      <c r="P56" s="159">
        <v>1.151</v>
      </c>
      <c r="Q56" s="159">
        <v>0.88900000000000001</v>
      </c>
      <c r="R56" s="159">
        <v>0.95599999999999996</v>
      </c>
      <c r="S56" s="159">
        <v>0.82799999999999996</v>
      </c>
      <c r="T56" s="159">
        <v>0.78400000000000003</v>
      </c>
      <c r="U56" s="159">
        <v>0.79300000000000004</v>
      </c>
      <c r="V56" s="159">
        <v>0.81200000000000006</v>
      </c>
      <c r="W56" s="159">
        <v>0.79800000000000004</v>
      </c>
      <c r="X56" s="159">
        <v>1.115</v>
      </c>
      <c r="Y56" s="159">
        <v>1.093</v>
      </c>
      <c r="Z56" s="159">
        <v>1.147</v>
      </c>
      <c r="AA56" s="14"/>
    </row>
    <row r="57" spans="2:27">
      <c r="B57" s="13"/>
      <c r="C57" s="151" t="s">
        <v>91</v>
      </c>
      <c r="D57" s="151" t="s">
        <v>112</v>
      </c>
      <c r="E57" s="151" t="s">
        <v>86</v>
      </c>
      <c r="F57" s="151" t="s">
        <v>34</v>
      </c>
      <c r="G57" s="159">
        <v>3.5710000000000002</v>
      </c>
      <c r="H57" s="159">
        <v>3.7080000000000002</v>
      </c>
      <c r="I57" s="159">
        <v>3.6230000000000002</v>
      </c>
      <c r="J57" s="159">
        <v>3.722</v>
      </c>
      <c r="K57" s="159">
        <v>3.8540000000000001</v>
      </c>
      <c r="L57" s="159">
        <v>3.9550000000000001</v>
      </c>
      <c r="M57" s="159">
        <v>4.0970000000000004</v>
      </c>
      <c r="N57" s="159">
        <v>4.0960000000000001</v>
      </c>
      <c r="O57" s="159">
        <v>4.165</v>
      </c>
      <c r="P57" s="159">
        <v>3.6419999999999999</v>
      </c>
      <c r="Q57" s="159">
        <v>3.577</v>
      </c>
      <c r="R57" s="159">
        <v>3.4750000000000001</v>
      </c>
      <c r="S57" s="159">
        <v>3.4929999999999999</v>
      </c>
      <c r="T57" s="159">
        <v>3.46</v>
      </c>
      <c r="U57" s="159">
        <v>3.339</v>
      </c>
      <c r="V57" s="159">
        <v>3.4670000000000001</v>
      </c>
      <c r="W57" s="159">
        <v>3.3319999999999999</v>
      </c>
      <c r="X57" s="159">
        <v>3.6240000000000001</v>
      </c>
      <c r="Y57" s="159">
        <v>3.7149999999999999</v>
      </c>
      <c r="Z57" s="159">
        <v>3.7120000000000002</v>
      </c>
      <c r="AA57" s="14"/>
    </row>
    <row r="58" spans="2:27">
      <c r="B58" s="13"/>
      <c r="C58" s="151" t="s">
        <v>92</v>
      </c>
      <c r="D58" s="151" t="s">
        <v>304</v>
      </c>
      <c r="E58" s="151" t="s">
        <v>82</v>
      </c>
      <c r="F58" s="151" t="s">
        <v>14</v>
      </c>
      <c r="G58" s="159">
        <v>4.2</v>
      </c>
      <c r="H58" s="159">
        <v>4.298</v>
      </c>
      <c r="I58" s="159">
        <v>4.2939999999999996</v>
      </c>
      <c r="J58" s="159">
        <v>4.2370000000000001</v>
      </c>
      <c r="K58" s="159">
        <v>4.2939999999999996</v>
      </c>
      <c r="L58" s="159">
        <v>4.3220000000000001</v>
      </c>
      <c r="M58" s="159">
        <v>4.6059999999999999</v>
      </c>
      <c r="N58" s="159">
        <v>4.9770000000000003</v>
      </c>
      <c r="O58" s="159">
        <v>5.1580000000000004</v>
      </c>
      <c r="P58" s="159">
        <v>4.524</v>
      </c>
      <c r="Q58" s="159">
        <v>4.2990000000000004</v>
      </c>
      <c r="R58" s="159">
        <v>4.5250000000000004</v>
      </c>
      <c r="S58" s="159">
        <v>4.5010000000000003</v>
      </c>
      <c r="T58" s="159">
        <v>4.5220000000000002</v>
      </c>
      <c r="U58" s="159">
        <v>4.585</v>
      </c>
      <c r="V58" s="159">
        <v>4.6280000000000001</v>
      </c>
      <c r="W58" s="159">
        <v>4.5439999999999996</v>
      </c>
      <c r="X58" s="159">
        <v>5.1790000000000003</v>
      </c>
      <c r="Y58" s="159">
        <v>5.1829999999999998</v>
      </c>
      <c r="Z58" s="159">
        <v>5.1100000000000003</v>
      </c>
      <c r="AA58" s="14"/>
    </row>
    <row r="59" spans="2:27">
      <c r="B59" s="13"/>
      <c r="C59" s="151" t="s">
        <v>92</v>
      </c>
      <c r="D59" s="151" t="s">
        <v>304</v>
      </c>
      <c r="E59" s="151" t="s">
        <v>83</v>
      </c>
      <c r="F59" s="151" t="s">
        <v>31</v>
      </c>
      <c r="G59" s="159">
        <v>0.61799999999999999</v>
      </c>
      <c r="H59" s="159">
        <v>0.57199999999999995</v>
      </c>
      <c r="I59" s="159">
        <v>0.56799999999999995</v>
      </c>
      <c r="J59" s="159">
        <v>0.53700000000000003</v>
      </c>
      <c r="K59" s="159">
        <v>0.51800000000000002</v>
      </c>
      <c r="L59" s="159">
        <v>0.53600000000000003</v>
      </c>
      <c r="M59" s="159">
        <v>0.52800000000000002</v>
      </c>
      <c r="N59" s="159">
        <v>0.58299999999999996</v>
      </c>
      <c r="O59" s="159">
        <v>0.63</v>
      </c>
      <c r="P59" s="159">
        <v>0.57099999999999995</v>
      </c>
      <c r="Q59" s="159">
        <v>0.52800000000000002</v>
      </c>
      <c r="R59" s="159">
        <v>0.59799999999999998</v>
      </c>
      <c r="S59" s="159">
        <v>0.58699999999999997</v>
      </c>
      <c r="T59" s="159">
        <v>0.627</v>
      </c>
      <c r="U59" s="159">
        <v>0.64900000000000002</v>
      </c>
      <c r="V59" s="159">
        <v>0.64100000000000001</v>
      </c>
      <c r="W59" s="159">
        <v>0.66900000000000004</v>
      </c>
      <c r="X59" s="159">
        <v>0.68200000000000005</v>
      </c>
      <c r="Y59" s="159">
        <v>0.66800000000000004</v>
      </c>
      <c r="Z59" s="159">
        <v>0.70699999999999996</v>
      </c>
      <c r="AA59" s="14"/>
    </row>
    <row r="60" spans="2:27">
      <c r="B60" s="13"/>
      <c r="C60" s="151" t="s">
        <v>92</v>
      </c>
      <c r="D60" s="151" t="s">
        <v>304</v>
      </c>
      <c r="E60" s="151" t="s">
        <v>84</v>
      </c>
      <c r="F60" s="151" t="s">
        <v>32</v>
      </c>
      <c r="G60" s="159">
        <v>1.0289999999999999</v>
      </c>
      <c r="H60" s="159">
        <v>1.0629999999999999</v>
      </c>
      <c r="I60" s="159">
        <v>1.032</v>
      </c>
      <c r="J60" s="159">
        <v>1.008</v>
      </c>
      <c r="K60" s="159">
        <v>1.113</v>
      </c>
      <c r="L60" s="159">
        <v>1.0649999999999999</v>
      </c>
      <c r="M60" s="159">
        <v>1.224</v>
      </c>
      <c r="N60" s="159">
        <v>1.2989999999999999</v>
      </c>
      <c r="O60" s="159">
        <v>1.419</v>
      </c>
      <c r="P60" s="159">
        <v>1.0760000000000001</v>
      </c>
      <c r="Q60" s="159">
        <v>1.196</v>
      </c>
      <c r="R60" s="159">
        <v>1.2829999999999999</v>
      </c>
      <c r="S60" s="159">
        <v>1.2490000000000001</v>
      </c>
      <c r="T60" s="159">
        <v>1.2789999999999999</v>
      </c>
      <c r="U60" s="159">
        <v>1.325</v>
      </c>
      <c r="V60" s="159">
        <v>1.2709999999999999</v>
      </c>
      <c r="W60" s="159">
        <v>1.29</v>
      </c>
      <c r="X60" s="159">
        <v>1.343</v>
      </c>
      <c r="Y60" s="159">
        <v>1.4239999999999999</v>
      </c>
      <c r="Z60" s="159">
        <v>1.3460000000000001</v>
      </c>
      <c r="AA60" s="14"/>
    </row>
    <row r="61" spans="2:27">
      <c r="B61" s="13"/>
      <c r="C61" s="151" t="s">
        <v>92</v>
      </c>
      <c r="D61" s="151" t="s">
        <v>304</v>
      </c>
      <c r="E61" s="151" t="s">
        <v>85</v>
      </c>
      <c r="F61" s="151" t="s">
        <v>33</v>
      </c>
      <c r="G61" s="159">
        <v>0.89600000000000002</v>
      </c>
      <c r="H61" s="159">
        <v>0.97599999999999998</v>
      </c>
      <c r="I61" s="159">
        <v>0.999</v>
      </c>
      <c r="J61" s="159">
        <v>0.96399999999999997</v>
      </c>
      <c r="K61" s="159">
        <v>0.93899999999999995</v>
      </c>
      <c r="L61" s="159">
        <v>0.97399999999999998</v>
      </c>
      <c r="M61" s="159">
        <v>1.0629999999999999</v>
      </c>
      <c r="N61" s="159">
        <v>1.1919999999999999</v>
      </c>
      <c r="O61" s="159">
        <v>1.1950000000000001</v>
      </c>
      <c r="P61" s="159">
        <v>1.236</v>
      </c>
      <c r="Q61" s="159">
        <v>0.94899999999999995</v>
      </c>
      <c r="R61" s="159">
        <v>1.004</v>
      </c>
      <c r="S61" s="159">
        <v>0.91800000000000004</v>
      </c>
      <c r="T61" s="159">
        <v>0.91300000000000003</v>
      </c>
      <c r="U61" s="159">
        <v>0.93600000000000005</v>
      </c>
      <c r="V61" s="159">
        <v>0.995</v>
      </c>
      <c r="W61" s="159">
        <v>0.94099999999999995</v>
      </c>
      <c r="X61" s="159">
        <v>1.377</v>
      </c>
      <c r="Y61" s="159">
        <v>1.2849999999999999</v>
      </c>
      <c r="Z61" s="159">
        <v>1.341</v>
      </c>
      <c r="AA61" s="14"/>
    </row>
    <row r="62" spans="2:27">
      <c r="B62" s="13"/>
      <c r="C62" s="151" t="s">
        <v>92</v>
      </c>
      <c r="D62" s="151" t="s">
        <v>304</v>
      </c>
      <c r="E62" s="151" t="s">
        <v>86</v>
      </c>
      <c r="F62" s="151" t="s">
        <v>34</v>
      </c>
      <c r="G62" s="159">
        <v>1.6579999999999999</v>
      </c>
      <c r="H62" s="159">
        <v>1.6870000000000001</v>
      </c>
      <c r="I62" s="159">
        <v>1.6950000000000001</v>
      </c>
      <c r="J62" s="159">
        <v>1.7290000000000001</v>
      </c>
      <c r="K62" s="159">
        <v>1.722</v>
      </c>
      <c r="L62" s="159">
        <v>1.7470000000000001</v>
      </c>
      <c r="M62" s="159">
        <v>1.7909999999999999</v>
      </c>
      <c r="N62" s="159">
        <v>1.903</v>
      </c>
      <c r="O62" s="159">
        <v>1.9139999999999999</v>
      </c>
      <c r="P62" s="159">
        <v>1.641</v>
      </c>
      <c r="Q62" s="159">
        <v>1.625</v>
      </c>
      <c r="R62" s="159">
        <v>1.641</v>
      </c>
      <c r="S62" s="159">
        <v>1.7470000000000001</v>
      </c>
      <c r="T62" s="159">
        <v>1.702</v>
      </c>
      <c r="U62" s="159">
        <v>1.6759999999999999</v>
      </c>
      <c r="V62" s="159">
        <v>1.7210000000000001</v>
      </c>
      <c r="W62" s="159">
        <v>1.6439999999999999</v>
      </c>
      <c r="X62" s="159">
        <v>1.7769999999999999</v>
      </c>
      <c r="Y62" s="159">
        <v>1.8069999999999999</v>
      </c>
      <c r="Z62" s="159">
        <v>1.716</v>
      </c>
      <c r="AA62" s="14"/>
    </row>
    <row r="63" spans="2:27">
      <c r="B63" s="13"/>
      <c r="C63" s="151" t="s">
        <v>93</v>
      </c>
      <c r="D63" s="151" t="s">
        <v>297</v>
      </c>
      <c r="E63" s="151" t="s">
        <v>82</v>
      </c>
      <c r="F63" s="151" t="s">
        <v>14</v>
      </c>
      <c r="G63" s="159">
        <v>16.181999999999999</v>
      </c>
      <c r="H63" s="159">
        <v>16.527000000000001</v>
      </c>
      <c r="I63" s="159">
        <v>16.452000000000002</v>
      </c>
      <c r="J63" s="159">
        <v>16.52</v>
      </c>
      <c r="K63" s="159">
        <v>17.152000000000001</v>
      </c>
      <c r="L63" s="159">
        <v>17.32</v>
      </c>
      <c r="M63" s="159">
        <v>17.917999999999999</v>
      </c>
      <c r="N63" s="159">
        <v>18.306000000000001</v>
      </c>
      <c r="O63" s="159">
        <v>17.88</v>
      </c>
      <c r="P63" s="159">
        <v>15.442</v>
      </c>
      <c r="Q63" s="159">
        <v>15.035</v>
      </c>
      <c r="R63" s="159">
        <v>15.603999999999999</v>
      </c>
      <c r="S63" s="159">
        <v>14.323</v>
      </c>
      <c r="T63" s="159">
        <v>13.964</v>
      </c>
      <c r="U63" s="159">
        <v>14.003</v>
      </c>
      <c r="V63" s="159">
        <v>13.907</v>
      </c>
      <c r="W63" s="159">
        <v>13.833</v>
      </c>
      <c r="X63" s="159">
        <v>14.321</v>
      </c>
      <c r="Y63" s="159">
        <v>14.548999999999999</v>
      </c>
      <c r="Z63" s="159">
        <v>14.458</v>
      </c>
      <c r="AA63" s="14"/>
    </row>
    <row r="64" spans="2:27">
      <c r="B64" s="13"/>
      <c r="C64" s="151" t="s">
        <v>93</v>
      </c>
      <c r="D64" s="151" t="s">
        <v>297</v>
      </c>
      <c r="E64" s="151" t="s">
        <v>83</v>
      </c>
      <c r="F64" s="151" t="s">
        <v>31</v>
      </c>
      <c r="G64" s="159">
        <v>3.359</v>
      </c>
      <c r="H64" s="159">
        <v>3.3490000000000002</v>
      </c>
      <c r="I64" s="159">
        <v>3.3420000000000001</v>
      </c>
      <c r="J64" s="159">
        <v>3.0830000000000002</v>
      </c>
      <c r="K64" s="159">
        <v>3.52</v>
      </c>
      <c r="L64" s="159">
        <v>3.3359999999999999</v>
      </c>
      <c r="M64" s="159">
        <v>3.1749999999999998</v>
      </c>
      <c r="N64" s="159">
        <v>3.2879999999999998</v>
      </c>
      <c r="O64" s="159">
        <v>3.3220000000000001</v>
      </c>
      <c r="P64" s="159">
        <v>3.2090000000000001</v>
      </c>
      <c r="Q64" s="159">
        <v>3.1419999999999999</v>
      </c>
      <c r="R64" s="159">
        <v>3.2789999999999999</v>
      </c>
      <c r="S64" s="159">
        <v>3.1349999999999998</v>
      </c>
      <c r="T64" s="159">
        <v>3.1880000000000002</v>
      </c>
      <c r="U64" s="159">
        <v>3.4079999999999999</v>
      </c>
      <c r="V64" s="159">
        <v>3.1539999999999999</v>
      </c>
      <c r="W64" s="159">
        <v>3.21</v>
      </c>
      <c r="X64" s="159">
        <v>3.32</v>
      </c>
      <c r="Y64" s="159">
        <v>3.2250000000000001</v>
      </c>
      <c r="Z64" s="159">
        <v>3.1859999999999999</v>
      </c>
      <c r="AA64" s="14"/>
    </row>
    <row r="65" spans="2:27">
      <c r="B65" s="13"/>
      <c r="C65" s="151" t="s">
        <v>93</v>
      </c>
      <c r="D65" s="151" t="s">
        <v>297</v>
      </c>
      <c r="E65" s="151" t="s">
        <v>84</v>
      </c>
      <c r="F65" s="151" t="s">
        <v>32</v>
      </c>
      <c r="G65" s="159">
        <v>1.6479999999999999</v>
      </c>
      <c r="H65" s="159">
        <v>1.7470000000000001</v>
      </c>
      <c r="I65" s="159">
        <v>1.7849999999999999</v>
      </c>
      <c r="J65" s="159">
        <v>1.8</v>
      </c>
      <c r="K65" s="159">
        <v>1.7250000000000001</v>
      </c>
      <c r="L65" s="159">
        <v>1.75</v>
      </c>
      <c r="M65" s="159">
        <v>1.895</v>
      </c>
      <c r="N65" s="159">
        <v>1.8540000000000001</v>
      </c>
      <c r="O65" s="159">
        <v>1.774</v>
      </c>
      <c r="P65" s="159">
        <v>1.26</v>
      </c>
      <c r="Q65" s="159">
        <v>1.49</v>
      </c>
      <c r="R65" s="159">
        <v>1.4370000000000001</v>
      </c>
      <c r="S65" s="159">
        <v>1.29</v>
      </c>
      <c r="T65" s="159">
        <v>1.347</v>
      </c>
      <c r="U65" s="159">
        <v>1.3460000000000001</v>
      </c>
      <c r="V65" s="159">
        <v>1.39</v>
      </c>
      <c r="W65" s="159">
        <v>1.4039999999999999</v>
      </c>
      <c r="X65" s="159">
        <v>1.4590000000000001</v>
      </c>
      <c r="Y65" s="159">
        <v>1.466</v>
      </c>
      <c r="Z65" s="159">
        <v>1.351</v>
      </c>
      <c r="AA65" s="14"/>
    </row>
    <row r="66" spans="2:27">
      <c r="B66" s="13"/>
      <c r="C66" s="151" t="s">
        <v>93</v>
      </c>
      <c r="D66" s="151" t="s">
        <v>297</v>
      </c>
      <c r="E66" s="151" t="s">
        <v>85</v>
      </c>
      <c r="F66" s="151" t="s">
        <v>33</v>
      </c>
      <c r="G66" s="159">
        <v>7.4409999999999998</v>
      </c>
      <c r="H66" s="159">
        <v>7.5709999999999997</v>
      </c>
      <c r="I66" s="159">
        <v>7.569</v>
      </c>
      <c r="J66" s="159">
        <v>7.819</v>
      </c>
      <c r="K66" s="159">
        <v>7.9589999999999996</v>
      </c>
      <c r="L66" s="159">
        <v>8.2560000000000002</v>
      </c>
      <c r="M66" s="159">
        <v>8.8030000000000008</v>
      </c>
      <c r="N66" s="159">
        <v>9.2780000000000005</v>
      </c>
      <c r="O66" s="159">
        <v>8.8859999999999992</v>
      </c>
      <c r="P66" s="159">
        <v>7.415</v>
      </c>
      <c r="Q66" s="159">
        <v>6.8979999999999997</v>
      </c>
      <c r="R66" s="159">
        <v>7.4560000000000004</v>
      </c>
      <c r="S66" s="159">
        <v>6.5659999999999998</v>
      </c>
      <c r="T66" s="159">
        <v>6.1449999999999996</v>
      </c>
      <c r="U66" s="159">
        <v>6.1420000000000003</v>
      </c>
      <c r="V66" s="159">
        <v>6.2279999999999998</v>
      </c>
      <c r="W66" s="159">
        <v>6.2409999999999997</v>
      </c>
      <c r="X66" s="159">
        <v>6.4059999999999997</v>
      </c>
      <c r="Y66" s="159">
        <v>6.6909999999999998</v>
      </c>
      <c r="Z66" s="159">
        <v>6.8559999999999999</v>
      </c>
      <c r="AA66" s="14"/>
    </row>
    <row r="67" spans="2:27">
      <c r="B67" s="13"/>
      <c r="C67" s="151" t="s">
        <v>93</v>
      </c>
      <c r="D67" s="151" t="s">
        <v>297</v>
      </c>
      <c r="E67" s="151" t="s">
        <v>86</v>
      </c>
      <c r="F67" s="151" t="s">
        <v>34</v>
      </c>
      <c r="G67" s="159">
        <v>3.734</v>
      </c>
      <c r="H67" s="159">
        <v>3.86</v>
      </c>
      <c r="I67" s="159">
        <v>3.7570000000000001</v>
      </c>
      <c r="J67" s="159">
        <v>3.8180000000000001</v>
      </c>
      <c r="K67" s="159">
        <v>3.948</v>
      </c>
      <c r="L67" s="159">
        <v>3.9780000000000002</v>
      </c>
      <c r="M67" s="159">
        <v>4.0460000000000003</v>
      </c>
      <c r="N67" s="159">
        <v>3.8860000000000001</v>
      </c>
      <c r="O67" s="159">
        <v>3.8980000000000001</v>
      </c>
      <c r="P67" s="159">
        <v>3.5590000000000002</v>
      </c>
      <c r="Q67" s="159">
        <v>3.5049999999999999</v>
      </c>
      <c r="R67" s="159">
        <v>3.4319999999999999</v>
      </c>
      <c r="S67" s="159">
        <v>3.3319999999999999</v>
      </c>
      <c r="T67" s="159">
        <v>3.2839999999999998</v>
      </c>
      <c r="U67" s="159">
        <v>3.1070000000000002</v>
      </c>
      <c r="V67" s="159">
        <v>3.1339999999999999</v>
      </c>
      <c r="W67" s="159">
        <v>2.9780000000000002</v>
      </c>
      <c r="X67" s="159">
        <v>3.1360000000000001</v>
      </c>
      <c r="Y67" s="159">
        <v>3.1659999999999999</v>
      </c>
      <c r="Z67" s="159">
        <v>3.0659999999999998</v>
      </c>
      <c r="AA67" s="14"/>
    </row>
    <row r="68" spans="2:27">
      <c r="B68" s="13"/>
      <c r="C68" s="151" t="s">
        <v>94</v>
      </c>
      <c r="D68" s="151" t="s">
        <v>298</v>
      </c>
      <c r="E68" s="151" t="s">
        <v>82</v>
      </c>
      <c r="F68" s="151" t="s">
        <v>14</v>
      </c>
      <c r="G68" s="159">
        <v>20.382000000000001</v>
      </c>
      <c r="H68" s="159">
        <v>20.824999999999999</v>
      </c>
      <c r="I68" s="159">
        <v>20.747</v>
      </c>
      <c r="J68" s="159">
        <v>20.757999999999999</v>
      </c>
      <c r="K68" s="159">
        <v>21.446000000000002</v>
      </c>
      <c r="L68" s="159">
        <v>21.641999999999999</v>
      </c>
      <c r="M68" s="159">
        <v>22.524000000000001</v>
      </c>
      <c r="N68" s="159">
        <v>23.283000000000001</v>
      </c>
      <c r="O68" s="159">
        <v>23.038</v>
      </c>
      <c r="P68" s="159">
        <v>19.966000000000001</v>
      </c>
      <c r="Q68" s="159">
        <v>19.334</v>
      </c>
      <c r="R68" s="159">
        <v>20.129000000000001</v>
      </c>
      <c r="S68" s="159">
        <v>18.824999999999999</v>
      </c>
      <c r="T68" s="159">
        <v>18.486000000000001</v>
      </c>
      <c r="U68" s="159">
        <v>18.588000000000001</v>
      </c>
      <c r="V68" s="159">
        <v>18.535</v>
      </c>
      <c r="W68" s="159">
        <v>18.376999999999999</v>
      </c>
      <c r="X68" s="159">
        <v>19.5</v>
      </c>
      <c r="Y68" s="159">
        <v>19.731999999999999</v>
      </c>
      <c r="Z68" s="159">
        <v>19.568000000000001</v>
      </c>
      <c r="AA68" s="14"/>
    </row>
    <row r="69" spans="2:27">
      <c r="B69" s="13"/>
      <c r="C69" s="151" t="s">
        <v>94</v>
      </c>
      <c r="D69" s="151" t="s">
        <v>298</v>
      </c>
      <c r="E69" s="151" t="s">
        <v>83</v>
      </c>
      <c r="F69" s="151" t="s">
        <v>31</v>
      </c>
      <c r="G69" s="159">
        <v>3.976</v>
      </c>
      <c r="H69" s="159">
        <v>3.9209999999999998</v>
      </c>
      <c r="I69" s="159">
        <v>3.91</v>
      </c>
      <c r="J69" s="159">
        <v>3.62</v>
      </c>
      <c r="K69" s="159">
        <v>4.0380000000000003</v>
      </c>
      <c r="L69" s="159">
        <v>3.8730000000000002</v>
      </c>
      <c r="M69" s="159">
        <v>3.7029999999999998</v>
      </c>
      <c r="N69" s="159">
        <v>3.871</v>
      </c>
      <c r="O69" s="159">
        <v>3.952</v>
      </c>
      <c r="P69" s="159">
        <v>3.7789999999999999</v>
      </c>
      <c r="Q69" s="159">
        <v>3.67</v>
      </c>
      <c r="R69" s="159">
        <v>3.8769999999999998</v>
      </c>
      <c r="S69" s="159">
        <v>3.722</v>
      </c>
      <c r="T69" s="159">
        <v>3.8149999999999999</v>
      </c>
      <c r="U69" s="159">
        <v>4.0570000000000004</v>
      </c>
      <c r="V69" s="159">
        <v>3.7949999999999999</v>
      </c>
      <c r="W69" s="159">
        <v>3.879</v>
      </c>
      <c r="X69" s="159">
        <v>4.0019999999999998</v>
      </c>
      <c r="Y69" s="159">
        <v>3.8929999999999998</v>
      </c>
      <c r="Z69" s="159">
        <v>3.8929999999999998</v>
      </c>
      <c r="AA69" s="14"/>
    </row>
    <row r="70" spans="2:27">
      <c r="B70" s="13"/>
      <c r="C70" s="151" t="s">
        <v>94</v>
      </c>
      <c r="D70" s="151" t="s">
        <v>298</v>
      </c>
      <c r="E70" s="151" t="s">
        <v>84</v>
      </c>
      <c r="F70" s="151" t="s">
        <v>32</v>
      </c>
      <c r="G70" s="159">
        <v>2.677</v>
      </c>
      <c r="H70" s="159">
        <v>2.81</v>
      </c>
      <c r="I70" s="159">
        <v>2.8170000000000002</v>
      </c>
      <c r="J70" s="159">
        <v>2.8079999999999998</v>
      </c>
      <c r="K70" s="159">
        <v>2.839</v>
      </c>
      <c r="L70" s="159">
        <v>2.8149999999999999</v>
      </c>
      <c r="M70" s="159">
        <v>3.1190000000000002</v>
      </c>
      <c r="N70" s="159">
        <v>3.153</v>
      </c>
      <c r="O70" s="159">
        <v>3.1930000000000001</v>
      </c>
      <c r="P70" s="159">
        <v>2.3359999999999999</v>
      </c>
      <c r="Q70" s="159">
        <v>2.6859999999999999</v>
      </c>
      <c r="R70" s="159">
        <v>2.72</v>
      </c>
      <c r="S70" s="159">
        <v>2.5390000000000001</v>
      </c>
      <c r="T70" s="159">
        <v>2.6259999999999999</v>
      </c>
      <c r="U70" s="159">
        <v>2.6709999999999998</v>
      </c>
      <c r="V70" s="159">
        <v>2.661</v>
      </c>
      <c r="W70" s="159">
        <v>2.694</v>
      </c>
      <c r="X70" s="159">
        <v>2.802</v>
      </c>
      <c r="Y70" s="159">
        <v>2.89</v>
      </c>
      <c r="Z70" s="159">
        <v>2.6970000000000001</v>
      </c>
      <c r="AA70" s="14"/>
    </row>
    <row r="71" spans="2:27">
      <c r="B71" s="13"/>
      <c r="C71" s="151" t="s">
        <v>94</v>
      </c>
      <c r="D71" s="151" t="s">
        <v>298</v>
      </c>
      <c r="E71" s="151" t="s">
        <v>85</v>
      </c>
      <c r="F71" s="151" t="s">
        <v>33</v>
      </c>
      <c r="G71" s="159">
        <v>8.3360000000000003</v>
      </c>
      <c r="H71" s="159">
        <v>8.5470000000000006</v>
      </c>
      <c r="I71" s="159">
        <v>8.5679999999999996</v>
      </c>
      <c r="J71" s="159">
        <v>8.782</v>
      </c>
      <c r="K71" s="159">
        <v>8.8979999999999997</v>
      </c>
      <c r="L71" s="159">
        <v>9.23</v>
      </c>
      <c r="M71" s="159">
        <v>9.8659999999999997</v>
      </c>
      <c r="N71" s="159">
        <v>10.47</v>
      </c>
      <c r="O71" s="159">
        <v>10.081</v>
      </c>
      <c r="P71" s="159">
        <v>8.6509999999999998</v>
      </c>
      <c r="Q71" s="159">
        <v>7.8479999999999999</v>
      </c>
      <c r="R71" s="159">
        <v>8.4600000000000009</v>
      </c>
      <c r="S71" s="159">
        <v>7.484</v>
      </c>
      <c r="T71" s="159">
        <v>7.0590000000000002</v>
      </c>
      <c r="U71" s="159">
        <v>7.077</v>
      </c>
      <c r="V71" s="159">
        <v>7.2229999999999999</v>
      </c>
      <c r="W71" s="159">
        <v>7.1829999999999998</v>
      </c>
      <c r="X71" s="159">
        <v>7.7830000000000004</v>
      </c>
      <c r="Y71" s="159">
        <v>7.976</v>
      </c>
      <c r="Z71" s="159">
        <v>8.1959999999999997</v>
      </c>
      <c r="AA71" s="14"/>
    </row>
    <row r="72" spans="2:27">
      <c r="B72" s="13"/>
      <c r="C72" s="151" t="s">
        <v>94</v>
      </c>
      <c r="D72" s="151" t="s">
        <v>298</v>
      </c>
      <c r="E72" s="151" t="s">
        <v>86</v>
      </c>
      <c r="F72" s="151" t="s">
        <v>34</v>
      </c>
      <c r="G72" s="159">
        <v>5.3920000000000003</v>
      </c>
      <c r="H72" s="159">
        <v>5.5469999999999997</v>
      </c>
      <c r="I72" s="159">
        <v>5.452</v>
      </c>
      <c r="J72" s="159">
        <v>5.5469999999999997</v>
      </c>
      <c r="K72" s="159">
        <v>5.67</v>
      </c>
      <c r="L72" s="159">
        <v>5.7249999999999996</v>
      </c>
      <c r="M72" s="159">
        <v>5.8360000000000003</v>
      </c>
      <c r="N72" s="159">
        <v>5.7889999999999997</v>
      </c>
      <c r="O72" s="159">
        <v>5.8120000000000003</v>
      </c>
      <c r="P72" s="159">
        <v>5.2</v>
      </c>
      <c r="Q72" s="159">
        <v>5.13</v>
      </c>
      <c r="R72" s="159">
        <v>5.0720000000000001</v>
      </c>
      <c r="S72" s="159">
        <v>5.0789999999999997</v>
      </c>
      <c r="T72" s="159">
        <v>4.9859999999999998</v>
      </c>
      <c r="U72" s="159">
        <v>4.7830000000000004</v>
      </c>
      <c r="V72" s="159">
        <v>4.8550000000000004</v>
      </c>
      <c r="W72" s="159">
        <v>4.6210000000000004</v>
      </c>
      <c r="X72" s="159">
        <v>4.9130000000000003</v>
      </c>
      <c r="Y72" s="159">
        <v>4.9729999999999999</v>
      </c>
      <c r="Z72" s="159">
        <v>4.782</v>
      </c>
      <c r="AA72" s="14"/>
    </row>
    <row r="73" spans="2:27">
      <c r="B73" s="13"/>
      <c r="C73" s="86"/>
      <c r="D73" s="86"/>
      <c r="E73" s="86"/>
      <c r="F73" s="86"/>
      <c r="G73" s="147"/>
      <c r="H73" s="147"/>
      <c r="I73" s="147"/>
      <c r="J73" s="147"/>
      <c r="K73" s="147"/>
      <c r="L73" s="147"/>
      <c r="M73" s="147"/>
      <c r="N73" s="147"/>
      <c r="O73" s="147"/>
      <c r="P73" s="147"/>
      <c r="Q73" s="147"/>
      <c r="R73" s="147"/>
      <c r="S73" s="147"/>
      <c r="T73" s="147"/>
      <c r="U73" s="147"/>
      <c r="V73" s="147"/>
      <c r="W73" s="147"/>
      <c r="X73" s="147"/>
      <c r="Y73" s="147"/>
      <c r="Z73" s="147"/>
      <c r="AA73" s="14"/>
    </row>
    <row r="74" spans="2:27">
      <c r="B74" s="13"/>
      <c r="C74" s="152" t="s">
        <v>38</v>
      </c>
      <c r="D74" s="158"/>
      <c r="E74" s="86"/>
      <c r="F74" s="86"/>
      <c r="G74" s="147"/>
      <c r="H74" s="147"/>
      <c r="I74" s="147"/>
      <c r="J74" s="147"/>
      <c r="K74" s="147"/>
      <c r="L74" s="147"/>
      <c r="M74" s="147"/>
      <c r="N74" s="147"/>
      <c r="O74" s="147"/>
      <c r="P74" s="147"/>
      <c r="Q74" s="147"/>
      <c r="R74" s="147"/>
      <c r="S74" s="147"/>
      <c r="T74" s="147"/>
      <c r="U74" s="147"/>
      <c r="V74" s="147"/>
      <c r="W74" s="147"/>
      <c r="X74" s="147"/>
      <c r="Y74" s="147"/>
      <c r="Z74" s="147"/>
      <c r="AA74" s="14"/>
    </row>
    <row r="75" spans="2:27">
      <c r="B75" s="13"/>
      <c r="C75" s="152" t="s">
        <v>36</v>
      </c>
      <c r="D75" s="152" t="s">
        <v>39</v>
      </c>
      <c r="E75" s="86"/>
      <c r="F75" s="86"/>
      <c r="G75" s="147"/>
      <c r="H75" s="147"/>
      <c r="I75" s="147"/>
      <c r="J75" s="147"/>
      <c r="K75" s="147"/>
      <c r="L75" s="147"/>
      <c r="M75" s="147"/>
      <c r="N75" s="147"/>
      <c r="O75" s="147"/>
      <c r="P75" s="147"/>
      <c r="Q75" s="147"/>
      <c r="R75" s="147"/>
      <c r="S75" s="147"/>
      <c r="T75" s="147"/>
      <c r="U75" s="147"/>
      <c r="V75" s="147"/>
      <c r="W75" s="147"/>
      <c r="X75" s="147"/>
      <c r="Y75" s="147"/>
      <c r="Z75" s="147"/>
      <c r="AA75" s="14"/>
    </row>
    <row r="76" spans="2:27" ht="12" thickBot="1">
      <c r="B76" s="16"/>
      <c r="C76" s="88"/>
      <c r="D76" s="88"/>
      <c r="E76" s="88"/>
      <c r="F76" s="88"/>
      <c r="G76" s="17"/>
      <c r="H76" s="17"/>
      <c r="I76" s="17"/>
      <c r="J76" s="17"/>
      <c r="K76" s="17"/>
      <c r="L76" s="17"/>
      <c r="M76" s="17"/>
      <c r="N76" s="17"/>
      <c r="O76" s="17"/>
      <c r="P76" s="17"/>
      <c r="Q76" s="17"/>
      <c r="R76" s="17"/>
      <c r="S76" s="17"/>
      <c r="T76" s="17"/>
      <c r="U76" s="17"/>
      <c r="V76" s="17"/>
      <c r="W76" s="17"/>
      <c r="X76" s="17"/>
      <c r="Y76" s="17"/>
      <c r="Z76" s="17"/>
      <c r="AA76" s="18"/>
    </row>
    <row r="77" spans="2:27" ht="12" thickBot="1"/>
    <row r="78" spans="2:27">
      <c r="B78" s="116" t="s">
        <v>52</v>
      </c>
      <c r="C78" s="19"/>
      <c r="D78" s="19"/>
      <c r="E78" s="19"/>
      <c r="F78" s="19"/>
      <c r="G78" s="19"/>
      <c r="H78" s="19"/>
      <c r="I78" s="19"/>
      <c r="J78" s="19"/>
      <c r="K78" s="19"/>
      <c r="L78" s="19"/>
      <c r="M78" s="19"/>
      <c r="N78" s="19"/>
      <c r="O78" s="19"/>
      <c r="P78" s="19"/>
      <c r="Q78" s="19"/>
      <c r="R78" s="19"/>
      <c r="S78" s="19"/>
      <c r="T78" s="19"/>
      <c r="U78" s="19"/>
      <c r="V78" s="19"/>
      <c r="W78" s="19"/>
      <c r="X78" s="19"/>
      <c r="Y78" s="19"/>
      <c r="Z78" s="19"/>
      <c r="AA78" s="20"/>
    </row>
    <row r="79" spans="2:27">
      <c r="B79" s="13"/>
      <c r="C79" s="15"/>
      <c r="D79" s="15"/>
      <c r="E79" s="15"/>
      <c r="F79" s="15"/>
      <c r="G79" s="15"/>
      <c r="H79" s="15"/>
      <c r="I79" s="15"/>
      <c r="J79" s="15"/>
      <c r="K79" s="15"/>
      <c r="L79" s="15"/>
      <c r="M79" s="15"/>
      <c r="N79" s="15"/>
      <c r="O79" s="15"/>
      <c r="P79" s="15"/>
      <c r="Q79" s="15"/>
      <c r="R79" s="15"/>
      <c r="S79" s="15"/>
      <c r="T79" s="15"/>
      <c r="U79" s="15"/>
      <c r="V79" s="15"/>
      <c r="W79" s="15"/>
      <c r="X79" s="15"/>
      <c r="Y79" s="15"/>
      <c r="Z79" s="15"/>
      <c r="AA79" s="14"/>
    </row>
    <row r="80" spans="2:27">
      <c r="B80" s="13"/>
      <c r="C80" s="21" t="s">
        <v>29</v>
      </c>
      <c r="D80" s="21"/>
      <c r="E80" s="21"/>
      <c r="F80" s="15"/>
      <c r="G80" s="15"/>
      <c r="H80" s="15"/>
      <c r="I80" s="15"/>
      <c r="J80" s="15"/>
      <c r="K80" s="15"/>
      <c r="L80" s="15"/>
      <c r="M80" s="15"/>
      <c r="N80" s="15"/>
      <c r="O80" s="15"/>
      <c r="P80" s="15"/>
      <c r="Q80" s="15"/>
      <c r="R80" s="15"/>
      <c r="S80" s="15"/>
      <c r="T80" s="15"/>
      <c r="U80" s="15"/>
      <c r="V80" s="15"/>
      <c r="W80" s="15"/>
      <c r="X80" s="15"/>
      <c r="Y80" s="15"/>
      <c r="Z80" s="15"/>
      <c r="AA80" s="14"/>
    </row>
    <row r="81" spans="2:27">
      <c r="B81" s="13"/>
      <c r="C81" s="22" t="s">
        <v>54</v>
      </c>
      <c r="D81" s="22"/>
      <c r="E81" s="22"/>
      <c r="F81" s="15"/>
      <c r="G81" s="15"/>
      <c r="H81" s="15"/>
      <c r="I81" s="15"/>
      <c r="J81" s="15"/>
      <c r="K81" s="15"/>
      <c r="L81" s="15"/>
      <c r="M81" s="15"/>
      <c r="N81" s="15"/>
      <c r="O81" s="15"/>
      <c r="P81" s="15"/>
      <c r="Q81" s="15"/>
      <c r="R81" s="15"/>
      <c r="S81" s="15"/>
      <c r="T81" s="15"/>
      <c r="U81" s="15"/>
      <c r="V81" s="15"/>
      <c r="W81" s="15"/>
      <c r="X81" s="15"/>
      <c r="Y81" s="15"/>
      <c r="Z81" s="15"/>
      <c r="AA81" s="14"/>
    </row>
    <row r="82" spans="2:27">
      <c r="B82" s="13"/>
      <c r="C82" s="89"/>
      <c r="D82" s="89"/>
      <c r="E82" s="89"/>
      <c r="F82" s="90"/>
      <c r="G82" s="91">
        <v>2000</v>
      </c>
      <c r="H82" s="91">
        <v>2001</v>
      </c>
      <c r="I82" s="91">
        <v>2002</v>
      </c>
      <c r="J82" s="91">
        <v>2003</v>
      </c>
      <c r="K82" s="91">
        <v>2004</v>
      </c>
      <c r="L82" s="91">
        <v>2005</v>
      </c>
      <c r="M82" s="91">
        <v>2006</v>
      </c>
      <c r="N82" s="91">
        <v>2007</v>
      </c>
      <c r="O82" s="91">
        <v>2008</v>
      </c>
      <c r="P82" s="91">
        <v>2009</v>
      </c>
      <c r="Q82" s="91">
        <v>2010</v>
      </c>
      <c r="R82" s="91">
        <v>2011</v>
      </c>
      <c r="S82" s="91">
        <v>2012</v>
      </c>
      <c r="T82" s="91">
        <v>2013</v>
      </c>
      <c r="U82" s="91">
        <v>2014</v>
      </c>
      <c r="V82" s="91">
        <v>2015</v>
      </c>
      <c r="W82" s="91">
        <v>2016</v>
      </c>
      <c r="X82" s="91">
        <v>2017</v>
      </c>
      <c r="Y82" s="91">
        <v>2018</v>
      </c>
      <c r="Z82" s="91">
        <v>2019</v>
      </c>
      <c r="AA82" s="14"/>
    </row>
    <row r="83" spans="2:27">
      <c r="B83" s="13"/>
      <c r="C83" s="92" t="s">
        <v>95</v>
      </c>
      <c r="D83" s="93" t="s">
        <v>29</v>
      </c>
      <c r="E83" s="93" t="s">
        <v>82</v>
      </c>
      <c r="F83" s="94" t="s">
        <v>14</v>
      </c>
      <c r="G83" s="95">
        <f t="shared" ref="G83:V83" si="0">G20-G25</f>
        <v>1387236.0320000001</v>
      </c>
      <c r="H83" s="95">
        <f t="shared" si="0"/>
        <v>1499021.4889999998</v>
      </c>
      <c r="I83" s="95">
        <f t="shared" si="0"/>
        <v>1464766.8609999998</v>
      </c>
      <c r="J83" s="95">
        <f t="shared" si="0"/>
        <v>1526071.3289999999</v>
      </c>
      <c r="K83" s="95">
        <f t="shared" si="0"/>
        <v>1542449.2510000002</v>
      </c>
      <c r="L83" s="95">
        <f t="shared" si="0"/>
        <v>1581920.2750000001</v>
      </c>
      <c r="M83" s="95">
        <f t="shared" si="0"/>
        <v>1713658.2679999999</v>
      </c>
      <c r="N83" s="95">
        <f t="shared" si="0"/>
        <v>1651642.477</v>
      </c>
      <c r="O83" s="95">
        <f t="shared" si="0"/>
        <v>1603152.6330000004</v>
      </c>
      <c r="P83" s="95">
        <f t="shared" si="0"/>
        <v>1218261.8740000003</v>
      </c>
      <c r="Q83" s="95">
        <f t="shared" si="0"/>
        <v>1292075.067</v>
      </c>
      <c r="R83" s="95">
        <f t="shared" si="0"/>
        <v>1202885.8160000001</v>
      </c>
      <c r="S83" s="95">
        <f t="shared" si="0"/>
        <v>1066392.5260000001</v>
      </c>
      <c r="T83" s="96">
        <f t="shared" si="0"/>
        <v>1034826.513</v>
      </c>
      <c r="U83" s="96">
        <f t="shared" si="0"/>
        <v>1016205.317</v>
      </c>
      <c r="V83" s="96">
        <f t="shared" si="0"/>
        <v>1054493.132</v>
      </c>
      <c r="W83" s="96">
        <f t="shared" ref="W83:X83" si="1">W20-W25</f>
        <v>1040026.077</v>
      </c>
      <c r="X83" s="96">
        <f t="shared" si="1"/>
        <v>1087207.5099999998</v>
      </c>
      <c r="Y83" s="96">
        <f t="shared" ref="Y83:Z83" si="2">Y20-Y25</f>
        <v>1162319.8869999996</v>
      </c>
      <c r="Z83" s="96">
        <f t="shared" si="2"/>
        <v>1135558.8970000003</v>
      </c>
      <c r="AA83" s="14"/>
    </row>
    <row r="84" spans="2:27">
      <c r="B84" s="13"/>
      <c r="C84" s="97" t="s">
        <v>95</v>
      </c>
      <c r="D84" s="97" t="s">
        <v>29</v>
      </c>
      <c r="E84" s="97" t="s">
        <v>83</v>
      </c>
      <c r="F84" s="98" t="s">
        <v>31</v>
      </c>
      <c r="G84" s="99">
        <f t="shared" ref="G84:V84" si="3">G21-G26</f>
        <v>-26638.145999999979</v>
      </c>
      <c r="H84" s="99">
        <f t="shared" si="3"/>
        <v>-8619.1390000000247</v>
      </c>
      <c r="I84" s="99">
        <f t="shared" si="3"/>
        <v>-9252.3260000000009</v>
      </c>
      <c r="J84" s="99">
        <f t="shared" si="3"/>
        <v>-9074.0860000000102</v>
      </c>
      <c r="K84" s="99">
        <f t="shared" si="3"/>
        <v>-8179.4120000000112</v>
      </c>
      <c r="L84" s="99">
        <f t="shared" si="3"/>
        <v>-18480.918999999994</v>
      </c>
      <c r="M84" s="99">
        <f t="shared" si="3"/>
        <v>-8763.7429999999877</v>
      </c>
      <c r="N84" s="99">
        <f t="shared" si="3"/>
        <v>-2985.4979999999923</v>
      </c>
      <c r="O84" s="99">
        <f t="shared" si="3"/>
        <v>-26498.982999999978</v>
      </c>
      <c r="P84" s="99">
        <f t="shared" si="3"/>
        <v>-44005.26999999999</v>
      </c>
      <c r="Q84" s="99">
        <f t="shared" si="3"/>
        <v>-35470.283999999985</v>
      </c>
      <c r="R84" s="99">
        <f t="shared" si="3"/>
        <v>-45253.065000000002</v>
      </c>
      <c r="S84" s="99">
        <f t="shared" si="3"/>
        <v>-47983.962</v>
      </c>
      <c r="T84" s="100">
        <f t="shared" si="3"/>
        <v>-66388.268000000011</v>
      </c>
      <c r="U84" s="100">
        <f t="shared" si="3"/>
        <v>-65410.22099999999</v>
      </c>
      <c r="V84" s="100">
        <f t="shared" si="3"/>
        <v>-67985.334999999963</v>
      </c>
      <c r="W84" s="100">
        <f t="shared" ref="W84:X84" si="4">W21-W26</f>
        <v>-66407.550000000017</v>
      </c>
      <c r="X84" s="100">
        <f t="shared" si="4"/>
        <v>-58069.56700000001</v>
      </c>
      <c r="Y84" s="100">
        <f t="shared" ref="Y84:Z84" si="5">Y21-Y26</f>
        <v>-40218.843999999983</v>
      </c>
      <c r="Z84" s="100">
        <f t="shared" si="5"/>
        <v>-53890.005000000034</v>
      </c>
      <c r="AA84" s="14"/>
    </row>
    <row r="85" spans="2:27">
      <c r="B85" s="13"/>
      <c r="C85" s="97" t="s">
        <v>95</v>
      </c>
      <c r="D85" s="97" t="s">
        <v>29</v>
      </c>
      <c r="E85" s="97" t="s">
        <v>84</v>
      </c>
      <c r="F85" s="98" t="s">
        <v>32</v>
      </c>
      <c r="G85" s="99">
        <f t="shared" ref="G85:V85" si="6">G22-G27</f>
        <v>556683.10800000001</v>
      </c>
      <c r="H85" s="99">
        <f t="shared" si="6"/>
        <v>605687.95299999998</v>
      </c>
      <c r="I85" s="99">
        <f t="shared" si="6"/>
        <v>628262.23399999994</v>
      </c>
      <c r="J85" s="99">
        <f t="shared" si="6"/>
        <v>639735.62899999996</v>
      </c>
      <c r="K85" s="99">
        <f t="shared" si="6"/>
        <v>608230.95600000001</v>
      </c>
      <c r="L85" s="99">
        <f t="shared" si="6"/>
        <v>622174.08499999996</v>
      </c>
      <c r="M85" s="99">
        <f t="shared" si="6"/>
        <v>684281.68200000003</v>
      </c>
      <c r="N85" s="99">
        <f t="shared" si="6"/>
        <v>672337.87199999997</v>
      </c>
      <c r="O85" s="99">
        <f t="shared" si="6"/>
        <v>639290.76699999999</v>
      </c>
      <c r="P85" s="99">
        <f t="shared" si="6"/>
        <v>418383.87700000004</v>
      </c>
      <c r="Q85" s="99">
        <f t="shared" si="6"/>
        <v>493022.75699999998</v>
      </c>
      <c r="R85" s="99">
        <f t="shared" si="6"/>
        <v>461824.10200000007</v>
      </c>
      <c r="S85" s="99">
        <f t="shared" si="6"/>
        <v>384270.98100000003</v>
      </c>
      <c r="T85" s="100">
        <f t="shared" si="6"/>
        <v>381720.47699999996</v>
      </c>
      <c r="U85" s="100">
        <f t="shared" si="6"/>
        <v>407404.24</v>
      </c>
      <c r="V85" s="100">
        <f t="shared" si="6"/>
        <v>428289.87</v>
      </c>
      <c r="W85" s="100">
        <f t="shared" ref="W85:X85" si="7">W22-W27</f>
        <v>418625.13800000004</v>
      </c>
      <c r="X85" s="100">
        <f t="shared" si="7"/>
        <v>438944.74900000007</v>
      </c>
      <c r="Y85" s="100">
        <f t="shared" ref="Y85:Z85" si="8">Y22-Y27</f>
        <v>435922.23099999991</v>
      </c>
      <c r="Z85" s="100">
        <f t="shared" si="8"/>
        <v>383909.81700000004</v>
      </c>
      <c r="AA85" s="14"/>
    </row>
    <row r="86" spans="2:27">
      <c r="B86" s="13"/>
      <c r="C86" s="97" t="s">
        <v>95</v>
      </c>
      <c r="D86" s="97" t="s">
        <v>29</v>
      </c>
      <c r="E86" s="97" t="s">
        <v>85</v>
      </c>
      <c r="F86" s="98" t="s">
        <v>33</v>
      </c>
      <c r="G86" s="99">
        <f t="shared" ref="G86:V86" si="9">G23-G28</f>
        <v>36422.238000000012</v>
      </c>
      <c r="H86" s="99">
        <f t="shared" si="9"/>
        <v>33936.848999999987</v>
      </c>
      <c r="I86" s="99">
        <f t="shared" si="9"/>
        <v>15746.527999999991</v>
      </c>
      <c r="J86" s="99">
        <f t="shared" si="9"/>
        <v>34510.146000000008</v>
      </c>
      <c r="K86" s="99">
        <f t="shared" si="9"/>
        <v>18047.542999999947</v>
      </c>
      <c r="L86" s="99">
        <f t="shared" si="9"/>
        <v>17416.722999999998</v>
      </c>
      <c r="M86" s="99">
        <f t="shared" si="9"/>
        <v>31330.611000000034</v>
      </c>
      <c r="N86" s="99">
        <f t="shared" si="9"/>
        <v>21836.052000000025</v>
      </c>
      <c r="O86" s="99">
        <f t="shared" si="9"/>
        <v>1034.3630000000121</v>
      </c>
      <c r="P86" s="99">
        <f t="shared" si="9"/>
        <v>-37459.638999999966</v>
      </c>
      <c r="Q86" s="99">
        <f t="shared" si="9"/>
        <v>-26472.27999999997</v>
      </c>
      <c r="R86" s="99">
        <f t="shared" si="9"/>
        <v>-21234.147999999986</v>
      </c>
      <c r="S86" s="99">
        <f t="shared" si="9"/>
        <v>-39843.262000000046</v>
      </c>
      <c r="T86" s="100">
        <f t="shared" si="9"/>
        <v>-57387.684999999998</v>
      </c>
      <c r="U86" s="100">
        <f t="shared" si="9"/>
        <v>-63285.899000000034</v>
      </c>
      <c r="V86" s="100">
        <f t="shared" si="9"/>
        <v>-81665.20299999998</v>
      </c>
      <c r="W86" s="100">
        <f t="shared" ref="W86:X86" si="10">W23-W28</f>
        <v>-63787.804999999993</v>
      </c>
      <c r="X86" s="100">
        <f t="shared" si="10"/>
        <v>-117077.89500000002</v>
      </c>
      <c r="Y86" s="100">
        <f t="shared" ref="Y86:Z86" si="11">Y23-Y28</f>
        <v>-85659.912000000011</v>
      </c>
      <c r="Z86" s="100">
        <f t="shared" si="11"/>
        <v>-86312.031999999948</v>
      </c>
      <c r="AA86" s="14"/>
    </row>
    <row r="87" spans="2:27">
      <c r="B87" s="13"/>
      <c r="C87" s="101" t="s">
        <v>95</v>
      </c>
      <c r="D87" s="101" t="s">
        <v>29</v>
      </c>
      <c r="E87" s="101" t="s">
        <v>86</v>
      </c>
      <c r="F87" s="102" t="s">
        <v>34</v>
      </c>
      <c r="G87" s="103">
        <f t="shared" ref="G87:V87" si="12">G24-G29</f>
        <v>820768.83199999994</v>
      </c>
      <c r="H87" s="103">
        <f t="shared" si="12"/>
        <v>868015.826</v>
      </c>
      <c r="I87" s="103">
        <f t="shared" si="12"/>
        <v>830010.42600000009</v>
      </c>
      <c r="J87" s="103">
        <f t="shared" si="12"/>
        <v>860899.64</v>
      </c>
      <c r="K87" s="103">
        <f t="shared" si="12"/>
        <v>924350.16500000004</v>
      </c>
      <c r="L87" s="103">
        <f t="shared" si="12"/>
        <v>960810.3870000001</v>
      </c>
      <c r="M87" s="103">
        <f t="shared" si="12"/>
        <v>1006809.718</v>
      </c>
      <c r="N87" s="103">
        <f t="shared" si="12"/>
        <v>960454.05</v>
      </c>
      <c r="O87" s="103">
        <f t="shared" si="12"/>
        <v>989326.48599999992</v>
      </c>
      <c r="P87" s="103">
        <f t="shared" si="12"/>
        <v>881342.90700000001</v>
      </c>
      <c r="Q87" s="103">
        <f t="shared" si="12"/>
        <v>860994.87399999995</v>
      </c>
      <c r="R87" s="103">
        <f t="shared" si="12"/>
        <v>807548.92599999998</v>
      </c>
      <c r="S87" s="103">
        <f t="shared" si="12"/>
        <v>769948.76899999985</v>
      </c>
      <c r="T87" s="104">
        <f t="shared" si="12"/>
        <v>776881.98900000006</v>
      </c>
      <c r="U87" s="104">
        <f t="shared" si="12"/>
        <v>737497.19600000011</v>
      </c>
      <c r="V87" s="104">
        <f t="shared" si="12"/>
        <v>775853.79999999993</v>
      </c>
      <c r="W87" s="104">
        <f t="shared" ref="W87:X87" si="13">W24-W29</f>
        <v>751596.29499999993</v>
      </c>
      <c r="X87" s="104">
        <f t="shared" si="13"/>
        <v>823410.22300000011</v>
      </c>
      <c r="Y87" s="104">
        <f t="shared" ref="Y87:Z87" si="14">Y24-Y29</f>
        <v>852276.41199999989</v>
      </c>
      <c r="Z87" s="104">
        <f t="shared" si="14"/>
        <v>891851.11600000004</v>
      </c>
      <c r="AA87" s="14"/>
    </row>
    <row r="88" spans="2:27" ht="12">
      <c r="B88" s="13"/>
      <c r="C88" s="51" t="s">
        <v>99</v>
      </c>
      <c r="D88" s="51"/>
      <c r="E88" s="51"/>
      <c r="F88" s="10"/>
      <c r="G88" s="105"/>
      <c r="H88" s="105"/>
      <c r="I88" s="105"/>
      <c r="J88" s="105"/>
      <c r="K88" s="105"/>
      <c r="L88" s="105"/>
      <c r="M88" s="105"/>
      <c r="N88" s="105"/>
      <c r="O88" s="105"/>
      <c r="P88" s="105"/>
      <c r="Q88" s="105"/>
      <c r="R88" s="105"/>
      <c r="S88" s="105"/>
      <c r="T88" s="105"/>
      <c r="U88" s="105"/>
      <c r="V88" s="105"/>
      <c r="W88" s="105"/>
      <c r="X88" s="105"/>
      <c r="Y88" s="105"/>
      <c r="Z88" s="105"/>
      <c r="AA88" s="14"/>
    </row>
    <row r="89" spans="2:27">
      <c r="B89" s="13"/>
      <c r="C89" s="15"/>
      <c r="D89" s="15"/>
      <c r="E89" s="15"/>
      <c r="F89" s="15"/>
      <c r="G89" s="15"/>
      <c r="H89" s="15"/>
      <c r="I89" s="15"/>
      <c r="J89" s="15"/>
      <c r="K89" s="15"/>
      <c r="L89" s="15"/>
      <c r="M89" s="15"/>
      <c r="N89" s="15"/>
      <c r="O89" s="15"/>
      <c r="P89" s="15"/>
      <c r="Q89" s="15"/>
      <c r="R89" s="15"/>
      <c r="S89" s="15"/>
      <c r="T89" s="15"/>
      <c r="U89" s="15"/>
      <c r="V89" s="15"/>
      <c r="W89" s="15"/>
      <c r="X89" s="15"/>
      <c r="Y89" s="15"/>
      <c r="Z89" s="15"/>
      <c r="AA89" s="14"/>
    </row>
    <row r="90" spans="2:27">
      <c r="B90" s="13"/>
      <c r="C90" s="21" t="str">
        <f>"Raw material equivalents (RME) available to EU-27 economies and how they are used, 2000-"&amp;Cover!C1</f>
        <v>Raw material equivalents (RME) available to EU-27 economies and how they are used, 2000-2019</v>
      </c>
      <c r="D90" s="21"/>
      <c r="E90" s="21"/>
      <c r="F90" s="15"/>
      <c r="G90" s="15"/>
      <c r="H90" s="15"/>
      <c r="I90" s="15"/>
      <c r="J90" s="15"/>
      <c r="K90" s="15"/>
      <c r="L90" s="15"/>
      <c r="M90" s="15"/>
      <c r="N90" s="15"/>
      <c r="O90" s="15"/>
      <c r="P90" s="15"/>
      <c r="Q90" s="15"/>
      <c r="R90" s="15"/>
      <c r="S90" s="15"/>
      <c r="T90" s="15"/>
      <c r="U90" s="15"/>
      <c r="V90" s="15"/>
      <c r="W90" s="15"/>
      <c r="X90" s="15"/>
      <c r="Y90" s="15"/>
      <c r="Z90" s="15"/>
      <c r="AA90" s="14"/>
    </row>
    <row r="91" spans="2:27">
      <c r="B91" s="13"/>
      <c r="C91" s="22" t="s">
        <v>5</v>
      </c>
      <c r="D91" s="22"/>
      <c r="E91" s="22"/>
      <c r="F91" s="15"/>
      <c r="G91" s="15"/>
      <c r="H91" s="15"/>
      <c r="I91" s="15"/>
      <c r="J91" s="15"/>
      <c r="K91" s="15"/>
      <c r="L91" s="15"/>
      <c r="M91" s="15"/>
      <c r="N91" s="15"/>
      <c r="O91" s="15"/>
      <c r="P91" s="15"/>
      <c r="Q91" s="15"/>
      <c r="R91" s="15"/>
      <c r="S91" s="15"/>
      <c r="T91" s="15"/>
      <c r="U91" s="15"/>
      <c r="V91" s="15"/>
      <c r="W91" s="15"/>
      <c r="X91" s="15"/>
      <c r="Y91" s="15"/>
      <c r="Z91" s="15"/>
      <c r="AA91" s="14"/>
    </row>
    <row r="92" spans="2:27">
      <c r="B92" s="13"/>
      <c r="C92" s="89"/>
      <c r="D92" s="181"/>
      <c r="E92" s="89"/>
      <c r="F92" s="89"/>
      <c r="G92" s="90">
        <v>2000</v>
      </c>
      <c r="H92" s="91">
        <f t="shared" ref="H92:X92" si="15">G92+1</f>
        <v>2001</v>
      </c>
      <c r="I92" s="91">
        <f t="shared" si="15"/>
        <v>2002</v>
      </c>
      <c r="J92" s="91">
        <f t="shared" si="15"/>
        <v>2003</v>
      </c>
      <c r="K92" s="91">
        <f t="shared" si="15"/>
        <v>2004</v>
      </c>
      <c r="L92" s="91">
        <f t="shared" si="15"/>
        <v>2005</v>
      </c>
      <c r="M92" s="91">
        <f t="shared" si="15"/>
        <v>2006</v>
      </c>
      <c r="N92" s="91">
        <f t="shared" si="15"/>
        <v>2007</v>
      </c>
      <c r="O92" s="91">
        <f t="shared" si="15"/>
        <v>2008</v>
      </c>
      <c r="P92" s="91">
        <f t="shared" si="15"/>
        <v>2009</v>
      </c>
      <c r="Q92" s="91">
        <f t="shared" si="15"/>
        <v>2010</v>
      </c>
      <c r="R92" s="91">
        <f t="shared" si="15"/>
        <v>2011</v>
      </c>
      <c r="S92" s="91">
        <f t="shared" si="15"/>
        <v>2012</v>
      </c>
      <c r="T92" s="91">
        <f t="shared" si="15"/>
        <v>2013</v>
      </c>
      <c r="U92" s="91">
        <f t="shared" si="15"/>
        <v>2014</v>
      </c>
      <c r="V92" s="91">
        <f t="shared" si="15"/>
        <v>2015</v>
      </c>
      <c r="W92" s="91">
        <f t="shared" si="15"/>
        <v>2016</v>
      </c>
      <c r="X92" s="91">
        <f t="shared" si="15"/>
        <v>2017</v>
      </c>
      <c r="Y92" s="91">
        <f t="shared" ref="Y92" si="16">X92+1</f>
        <v>2018</v>
      </c>
      <c r="Z92" s="91">
        <f t="shared" ref="Z92" si="17">Y92+1</f>
        <v>2019</v>
      </c>
      <c r="AA92" s="14"/>
    </row>
    <row r="93" spans="2:27">
      <c r="B93" s="13"/>
      <c r="C93" s="93" t="s">
        <v>80</v>
      </c>
      <c r="D93" s="93" t="s">
        <v>1</v>
      </c>
      <c r="E93" s="93" t="s">
        <v>82</v>
      </c>
      <c r="F93" s="94" t="s">
        <v>14</v>
      </c>
      <c r="G93" s="106">
        <f>G48</f>
        <v>12.948</v>
      </c>
      <c r="H93" s="106">
        <f t="shared" ref="H93:V93" si="18">H48</f>
        <v>13.037000000000001</v>
      </c>
      <c r="I93" s="106">
        <f t="shared" si="18"/>
        <v>13.048999999999999</v>
      </c>
      <c r="J93" s="106">
        <f t="shared" si="18"/>
        <v>12.988</v>
      </c>
      <c r="K93" s="106">
        <f t="shared" si="18"/>
        <v>13.595000000000001</v>
      </c>
      <c r="L93" s="106">
        <f t="shared" si="18"/>
        <v>13.685</v>
      </c>
      <c r="M93" s="106">
        <f t="shared" si="18"/>
        <v>13.992000000000001</v>
      </c>
      <c r="N93" s="106">
        <f t="shared" si="18"/>
        <v>14.535</v>
      </c>
      <c r="O93" s="106">
        <f t="shared" si="18"/>
        <v>14.231</v>
      </c>
      <c r="P93" s="106">
        <f t="shared" si="18"/>
        <v>12.676</v>
      </c>
      <c r="Q93" s="106">
        <f t="shared" si="18"/>
        <v>12.105</v>
      </c>
      <c r="R93" s="106">
        <f t="shared" si="18"/>
        <v>12.871</v>
      </c>
      <c r="S93" s="106">
        <f t="shared" si="18"/>
        <v>11.904999999999999</v>
      </c>
      <c r="T93" s="106">
        <f t="shared" si="18"/>
        <v>11.622</v>
      </c>
      <c r="U93" s="106">
        <f t="shared" si="18"/>
        <v>11.71</v>
      </c>
      <c r="V93" s="106">
        <f t="shared" si="18"/>
        <v>11.532999999999999</v>
      </c>
      <c r="W93" s="106">
        <f t="shared" ref="W93:X93" si="19">W48</f>
        <v>11.496</v>
      </c>
      <c r="X93" s="106">
        <f t="shared" si="19"/>
        <v>11.882</v>
      </c>
      <c r="Y93" s="106">
        <f t="shared" ref="Y93:Z93" si="20">Y48</f>
        <v>11.946</v>
      </c>
      <c r="Z93" s="106">
        <f t="shared" si="20"/>
        <v>11.917</v>
      </c>
      <c r="AA93" s="14"/>
    </row>
    <row r="94" spans="2:27">
      <c r="B94" s="13"/>
      <c r="C94" s="97" t="s">
        <v>80</v>
      </c>
      <c r="D94" s="97" t="s">
        <v>1</v>
      </c>
      <c r="E94" s="97" t="s">
        <v>83</v>
      </c>
      <c r="F94" s="98" t="s">
        <v>31</v>
      </c>
      <c r="G94" s="107">
        <f>G49</f>
        <v>3.4209999999999998</v>
      </c>
      <c r="H94" s="107">
        <f t="shared" ref="H94:V94" si="21">H49</f>
        <v>3.3690000000000002</v>
      </c>
      <c r="I94" s="107">
        <f t="shared" si="21"/>
        <v>3.3639999999999999</v>
      </c>
      <c r="J94" s="107">
        <f t="shared" si="21"/>
        <v>3.1040000000000001</v>
      </c>
      <c r="K94" s="107">
        <f t="shared" si="21"/>
        <v>3.5390000000000001</v>
      </c>
      <c r="L94" s="107">
        <f t="shared" si="21"/>
        <v>3.379</v>
      </c>
      <c r="M94" s="107">
        <f t="shared" si="21"/>
        <v>3.1949999999999998</v>
      </c>
      <c r="N94" s="107">
        <f t="shared" si="21"/>
        <v>3.2949999999999999</v>
      </c>
      <c r="O94" s="107">
        <f t="shared" si="21"/>
        <v>3.3820000000000001</v>
      </c>
      <c r="P94" s="107">
        <f t="shared" si="21"/>
        <v>3.3079999999999998</v>
      </c>
      <c r="Q94" s="107">
        <f t="shared" si="21"/>
        <v>3.222</v>
      </c>
      <c r="R94" s="107">
        <f t="shared" si="21"/>
        <v>3.3820000000000001</v>
      </c>
      <c r="S94" s="107">
        <f t="shared" si="21"/>
        <v>3.2440000000000002</v>
      </c>
      <c r="T94" s="107">
        <f t="shared" si="21"/>
        <v>3.3380000000000001</v>
      </c>
      <c r="U94" s="107">
        <f t="shared" si="21"/>
        <v>3.556</v>
      </c>
      <c r="V94" s="107">
        <f t="shared" si="21"/>
        <v>3.3069999999999999</v>
      </c>
      <c r="W94" s="107">
        <f t="shared" ref="W94:X94" si="22">W49</f>
        <v>3.359</v>
      </c>
      <c r="X94" s="107">
        <f t="shared" si="22"/>
        <v>3.45</v>
      </c>
      <c r="Y94" s="107">
        <f t="shared" ref="Y94:Z94" si="23">Y49</f>
        <v>3.3149999999999999</v>
      </c>
      <c r="Z94" s="107">
        <f t="shared" si="23"/>
        <v>3.3069999999999999</v>
      </c>
      <c r="AA94" s="14"/>
    </row>
    <row r="95" spans="2:27">
      <c r="B95" s="13"/>
      <c r="C95" s="97" t="s">
        <v>80</v>
      </c>
      <c r="D95" s="97" t="s">
        <v>1</v>
      </c>
      <c r="E95" s="97" t="s">
        <v>84</v>
      </c>
      <c r="F95" s="98" t="s">
        <v>32</v>
      </c>
      <c r="G95" s="107">
        <f t="shared" ref="G95:V95" si="24">G50</f>
        <v>0.35099999999999998</v>
      </c>
      <c r="H95" s="107">
        <f t="shared" si="24"/>
        <v>0.33700000000000002</v>
      </c>
      <c r="I95" s="107">
        <f t="shared" si="24"/>
        <v>0.32500000000000001</v>
      </c>
      <c r="J95" s="107">
        <f t="shared" si="24"/>
        <v>0.31900000000000001</v>
      </c>
      <c r="K95" s="107">
        <f t="shared" si="24"/>
        <v>0.32200000000000001</v>
      </c>
      <c r="L95" s="107">
        <f t="shared" si="24"/>
        <v>0.32</v>
      </c>
      <c r="M95" s="107">
        <f t="shared" si="24"/>
        <v>0.32700000000000001</v>
      </c>
      <c r="N95" s="107">
        <f t="shared" si="24"/>
        <v>0.31900000000000001</v>
      </c>
      <c r="O95" s="107">
        <f t="shared" si="24"/>
        <v>0.31900000000000001</v>
      </c>
      <c r="P95" s="107">
        <f t="shared" si="24"/>
        <v>0.31</v>
      </c>
      <c r="Q95" s="107">
        <f t="shared" si="24"/>
        <v>0.372</v>
      </c>
      <c r="R95" s="107">
        <f t="shared" si="24"/>
        <v>0.38800000000000001</v>
      </c>
      <c r="S95" s="107">
        <f t="shared" si="24"/>
        <v>0.41799999999999998</v>
      </c>
      <c r="T95" s="107">
        <f t="shared" si="24"/>
        <v>0.48299999999999998</v>
      </c>
      <c r="U95" s="107">
        <f t="shared" si="24"/>
        <v>0.42699999999999999</v>
      </c>
      <c r="V95" s="107">
        <f t="shared" si="24"/>
        <v>0.42599999999999999</v>
      </c>
      <c r="W95" s="107">
        <f t="shared" ref="W95:X95" si="25">W50</f>
        <v>0.46400000000000002</v>
      </c>
      <c r="X95" s="107">
        <f t="shared" si="25"/>
        <v>0.47399999999999998</v>
      </c>
      <c r="Y95" s="107">
        <f t="shared" ref="Y95:Z95" si="26">Y50</f>
        <v>0.49</v>
      </c>
      <c r="Z95" s="107">
        <f t="shared" si="26"/>
        <v>0.49099999999999999</v>
      </c>
      <c r="AA95" s="14"/>
    </row>
    <row r="96" spans="2:27">
      <c r="B96" s="13"/>
      <c r="C96" s="97" t="s">
        <v>80</v>
      </c>
      <c r="D96" s="97" t="s">
        <v>1</v>
      </c>
      <c r="E96" s="97" t="s">
        <v>85</v>
      </c>
      <c r="F96" s="98" t="s">
        <v>33</v>
      </c>
      <c r="G96" s="107">
        <f t="shared" ref="G96:V96" si="27">G51</f>
        <v>7.3559999999999999</v>
      </c>
      <c r="H96" s="107">
        <f t="shared" si="27"/>
        <v>7.492</v>
      </c>
      <c r="I96" s="107">
        <f t="shared" si="27"/>
        <v>7.532</v>
      </c>
      <c r="J96" s="107">
        <f t="shared" si="27"/>
        <v>7.7389999999999999</v>
      </c>
      <c r="K96" s="107">
        <f t="shared" si="27"/>
        <v>7.9169999999999998</v>
      </c>
      <c r="L96" s="107">
        <f t="shared" si="27"/>
        <v>8.2159999999999993</v>
      </c>
      <c r="M96" s="107">
        <f t="shared" si="27"/>
        <v>8.7309999999999999</v>
      </c>
      <c r="N96" s="107">
        <f t="shared" si="27"/>
        <v>9.2289999999999992</v>
      </c>
      <c r="O96" s="107">
        <f t="shared" si="27"/>
        <v>8.8840000000000003</v>
      </c>
      <c r="P96" s="107">
        <f t="shared" si="27"/>
        <v>7.5</v>
      </c>
      <c r="Q96" s="107">
        <f t="shared" si="27"/>
        <v>6.9580000000000002</v>
      </c>
      <c r="R96" s="107">
        <f t="shared" si="27"/>
        <v>7.5039999999999996</v>
      </c>
      <c r="S96" s="107">
        <f t="shared" si="27"/>
        <v>6.657</v>
      </c>
      <c r="T96" s="107">
        <f t="shared" si="27"/>
        <v>6.2750000000000004</v>
      </c>
      <c r="U96" s="107">
        <f t="shared" si="27"/>
        <v>6.2839999999999998</v>
      </c>
      <c r="V96" s="107">
        <f t="shared" si="27"/>
        <v>6.4119999999999999</v>
      </c>
      <c r="W96" s="107">
        <f t="shared" ref="W96:X96" si="28">W51</f>
        <v>6.3849999999999998</v>
      </c>
      <c r="X96" s="107">
        <f t="shared" si="28"/>
        <v>6.6680000000000001</v>
      </c>
      <c r="Y96" s="107">
        <f t="shared" ref="Y96:Z96" si="29">Y51</f>
        <v>6.883</v>
      </c>
      <c r="Z96" s="107">
        <f t="shared" si="29"/>
        <v>7.0490000000000004</v>
      </c>
      <c r="AA96" s="14"/>
    </row>
    <row r="97" spans="2:27">
      <c r="B97" s="13"/>
      <c r="C97" s="97" t="s">
        <v>80</v>
      </c>
      <c r="D97" s="97" t="s">
        <v>1</v>
      </c>
      <c r="E97" s="97" t="s">
        <v>86</v>
      </c>
      <c r="F97" s="98" t="s">
        <v>34</v>
      </c>
      <c r="G97" s="107">
        <f t="shared" ref="G97:V97" si="30">G52</f>
        <v>1.821</v>
      </c>
      <c r="H97" s="107">
        <f t="shared" si="30"/>
        <v>1.839</v>
      </c>
      <c r="I97" s="107">
        <f t="shared" si="30"/>
        <v>1.829</v>
      </c>
      <c r="J97" s="107">
        <f t="shared" si="30"/>
        <v>1.825</v>
      </c>
      <c r="K97" s="107">
        <f t="shared" si="30"/>
        <v>1.8160000000000001</v>
      </c>
      <c r="L97" s="107">
        <f t="shared" si="30"/>
        <v>1.77</v>
      </c>
      <c r="M97" s="107">
        <f t="shared" si="30"/>
        <v>1.7390000000000001</v>
      </c>
      <c r="N97" s="107">
        <f t="shared" si="30"/>
        <v>1.6930000000000001</v>
      </c>
      <c r="O97" s="107">
        <f t="shared" si="30"/>
        <v>1.6459999999999999</v>
      </c>
      <c r="P97" s="107">
        <f t="shared" si="30"/>
        <v>1.5569999999999999</v>
      </c>
      <c r="Q97" s="107">
        <f t="shared" si="30"/>
        <v>1.5529999999999999</v>
      </c>
      <c r="R97" s="107">
        <f t="shared" si="30"/>
        <v>1.597</v>
      </c>
      <c r="S97" s="107">
        <f t="shared" si="30"/>
        <v>1.5860000000000001</v>
      </c>
      <c r="T97" s="107">
        <f t="shared" si="30"/>
        <v>1.526</v>
      </c>
      <c r="U97" s="107">
        <f t="shared" si="30"/>
        <v>1.444</v>
      </c>
      <c r="V97" s="107">
        <f t="shared" si="30"/>
        <v>1.3879999999999999</v>
      </c>
      <c r="W97" s="107">
        <f t="shared" ref="W97:X97" si="31">W52</f>
        <v>1.2889999999999999</v>
      </c>
      <c r="X97" s="107">
        <f t="shared" si="31"/>
        <v>1.2889999999999999</v>
      </c>
      <c r="Y97" s="107">
        <f t="shared" ref="Y97:Z97" si="32">Y52</f>
        <v>1.258</v>
      </c>
      <c r="Z97" s="107">
        <f t="shared" si="32"/>
        <v>1.07</v>
      </c>
      <c r="AA97" s="14"/>
    </row>
    <row r="98" spans="2:27">
      <c r="B98" s="13"/>
      <c r="C98" s="97" t="s">
        <v>91</v>
      </c>
      <c r="D98" s="97" t="s">
        <v>6</v>
      </c>
      <c r="E98" s="97" t="s">
        <v>82</v>
      </c>
      <c r="F98" s="108" t="s">
        <v>14</v>
      </c>
      <c r="G98" s="107">
        <f t="shared" ref="G98:V98" si="33">G53</f>
        <v>7.4340000000000002</v>
      </c>
      <c r="H98" s="107">
        <f t="shared" si="33"/>
        <v>7.7880000000000003</v>
      </c>
      <c r="I98" s="107">
        <f t="shared" si="33"/>
        <v>7.6970000000000001</v>
      </c>
      <c r="J98" s="107">
        <f t="shared" si="33"/>
        <v>7.77</v>
      </c>
      <c r="K98" s="107">
        <f t="shared" si="33"/>
        <v>7.851</v>
      </c>
      <c r="L98" s="107">
        <f t="shared" si="33"/>
        <v>7.9580000000000002</v>
      </c>
      <c r="M98" s="107">
        <f t="shared" si="33"/>
        <v>8.532</v>
      </c>
      <c r="N98" s="107">
        <f t="shared" si="33"/>
        <v>8.7479999999999993</v>
      </c>
      <c r="O98" s="107">
        <f t="shared" si="33"/>
        <v>8.8059999999999992</v>
      </c>
      <c r="P98" s="107">
        <f t="shared" si="33"/>
        <v>7.29</v>
      </c>
      <c r="Q98" s="107">
        <f t="shared" si="33"/>
        <v>7.2279999999999998</v>
      </c>
      <c r="R98" s="107">
        <f t="shared" si="33"/>
        <v>7.258</v>
      </c>
      <c r="S98" s="107">
        <f t="shared" si="33"/>
        <v>6.92</v>
      </c>
      <c r="T98" s="107">
        <f t="shared" si="33"/>
        <v>6.8639999999999999</v>
      </c>
      <c r="U98" s="107">
        <f t="shared" si="33"/>
        <v>6.8780000000000001</v>
      </c>
      <c r="V98" s="107">
        <f t="shared" si="33"/>
        <v>7.0019999999999998</v>
      </c>
      <c r="W98" s="107">
        <f t="shared" ref="W98:X98" si="34">W53</f>
        <v>6.88</v>
      </c>
      <c r="X98" s="107">
        <f t="shared" si="34"/>
        <v>7.6180000000000003</v>
      </c>
      <c r="Y98" s="107">
        <f t="shared" ref="Y98:Z98" si="35">Y53</f>
        <v>7.7859999999999996</v>
      </c>
      <c r="Z98" s="107">
        <f t="shared" si="35"/>
        <v>7.6509999999999998</v>
      </c>
      <c r="AA98" s="14"/>
    </row>
    <row r="99" spans="2:27">
      <c r="B99" s="13"/>
      <c r="C99" s="97" t="s">
        <v>91</v>
      </c>
      <c r="D99" s="97" t="s">
        <v>6</v>
      </c>
      <c r="E99" s="97" t="s">
        <v>83</v>
      </c>
      <c r="F99" s="98" t="s">
        <v>31</v>
      </c>
      <c r="G99" s="107">
        <f t="shared" ref="G99:V99" si="36">G54</f>
        <v>0.55500000000000005</v>
      </c>
      <c r="H99" s="107">
        <f t="shared" si="36"/>
        <v>0.55200000000000005</v>
      </c>
      <c r="I99" s="107">
        <f t="shared" si="36"/>
        <v>0.54600000000000004</v>
      </c>
      <c r="J99" s="107">
        <f t="shared" si="36"/>
        <v>0.51600000000000001</v>
      </c>
      <c r="K99" s="107">
        <f t="shared" si="36"/>
        <v>0.5</v>
      </c>
      <c r="L99" s="107">
        <f t="shared" si="36"/>
        <v>0.49399999999999999</v>
      </c>
      <c r="M99" s="107">
        <f t="shared" si="36"/>
        <v>0.50800000000000001</v>
      </c>
      <c r="N99" s="107">
        <f t="shared" si="36"/>
        <v>0.57599999999999996</v>
      </c>
      <c r="O99" s="107">
        <f t="shared" si="36"/>
        <v>0.56999999999999995</v>
      </c>
      <c r="P99" s="107">
        <f t="shared" si="36"/>
        <v>0.47099999999999997</v>
      </c>
      <c r="Q99" s="107">
        <f t="shared" si="36"/>
        <v>0.44800000000000001</v>
      </c>
      <c r="R99" s="107">
        <f t="shared" si="36"/>
        <v>0.495</v>
      </c>
      <c r="S99" s="107">
        <f t="shared" si="36"/>
        <v>0.47799999999999998</v>
      </c>
      <c r="T99" s="107">
        <f t="shared" si="36"/>
        <v>0.47699999999999998</v>
      </c>
      <c r="U99" s="107">
        <f t="shared" si="36"/>
        <v>0.502</v>
      </c>
      <c r="V99" s="107">
        <f t="shared" si="36"/>
        <v>0.48799999999999999</v>
      </c>
      <c r="W99" s="107">
        <f t="shared" ref="W99:X99" si="37">W54</f>
        <v>0.52</v>
      </c>
      <c r="X99" s="107">
        <f t="shared" si="37"/>
        <v>0.55200000000000005</v>
      </c>
      <c r="Y99" s="107">
        <f t="shared" ref="Y99:Z99" si="38">Y54</f>
        <v>0.57799999999999996</v>
      </c>
      <c r="Z99" s="107">
        <f t="shared" si="38"/>
        <v>0.58599999999999997</v>
      </c>
      <c r="AA99" s="14"/>
    </row>
    <row r="100" spans="2:27">
      <c r="B100" s="13"/>
      <c r="C100" s="97" t="s">
        <v>91</v>
      </c>
      <c r="D100" s="97" t="s">
        <v>6</v>
      </c>
      <c r="E100" s="97" t="s">
        <v>84</v>
      </c>
      <c r="F100" s="98" t="s">
        <v>32</v>
      </c>
      <c r="G100" s="107">
        <f t="shared" ref="G100:V100" si="39">G55</f>
        <v>2.327</v>
      </c>
      <c r="H100" s="107">
        <f t="shared" si="39"/>
        <v>2.4729999999999999</v>
      </c>
      <c r="I100" s="107">
        <f t="shared" si="39"/>
        <v>2.492</v>
      </c>
      <c r="J100" s="107">
        <f t="shared" si="39"/>
        <v>2.4889999999999999</v>
      </c>
      <c r="K100" s="107">
        <f t="shared" si="39"/>
        <v>2.516</v>
      </c>
      <c r="L100" s="107">
        <f t="shared" si="39"/>
        <v>2.4950000000000001</v>
      </c>
      <c r="M100" s="107">
        <f t="shared" si="39"/>
        <v>2.7919999999999998</v>
      </c>
      <c r="N100" s="107">
        <f t="shared" si="39"/>
        <v>2.8340000000000001</v>
      </c>
      <c r="O100" s="107">
        <f t="shared" si="39"/>
        <v>2.8740000000000001</v>
      </c>
      <c r="P100" s="107">
        <f t="shared" si="39"/>
        <v>2.0259999999999998</v>
      </c>
      <c r="Q100" s="107">
        <f t="shared" si="39"/>
        <v>2.3140000000000001</v>
      </c>
      <c r="R100" s="107">
        <f t="shared" si="39"/>
        <v>2.3319999999999999</v>
      </c>
      <c r="S100" s="107">
        <f t="shared" si="39"/>
        <v>2.12</v>
      </c>
      <c r="T100" s="107">
        <f t="shared" si="39"/>
        <v>2.1429999999999998</v>
      </c>
      <c r="U100" s="107">
        <f t="shared" si="39"/>
        <v>2.2440000000000002</v>
      </c>
      <c r="V100" s="107">
        <f t="shared" si="39"/>
        <v>2.2349999999999999</v>
      </c>
      <c r="W100" s="107">
        <f t="shared" ref="W100:X100" si="40">W55</f>
        <v>2.23</v>
      </c>
      <c r="X100" s="107">
        <f t="shared" si="40"/>
        <v>2.3279999999999998</v>
      </c>
      <c r="Y100" s="107">
        <f t="shared" ref="Y100:Z100" si="41">Y55</f>
        <v>2.4</v>
      </c>
      <c r="Z100" s="107">
        <f t="shared" si="41"/>
        <v>2.2050000000000001</v>
      </c>
      <c r="AA100" s="14"/>
    </row>
    <row r="101" spans="2:27">
      <c r="B101" s="13"/>
      <c r="C101" s="97" t="s">
        <v>91</v>
      </c>
      <c r="D101" s="97" t="s">
        <v>6</v>
      </c>
      <c r="E101" s="97" t="s">
        <v>85</v>
      </c>
      <c r="F101" s="98" t="s">
        <v>33</v>
      </c>
      <c r="G101" s="107">
        <f t="shared" ref="G101:V101" si="42">G56</f>
        <v>0.98099999999999998</v>
      </c>
      <c r="H101" s="107">
        <f t="shared" si="42"/>
        <v>1.0549999999999999</v>
      </c>
      <c r="I101" s="107">
        <f t="shared" si="42"/>
        <v>1.036</v>
      </c>
      <c r="J101" s="107">
        <f t="shared" si="42"/>
        <v>1.0429999999999999</v>
      </c>
      <c r="K101" s="107">
        <f t="shared" si="42"/>
        <v>0.98099999999999998</v>
      </c>
      <c r="L101" s="107">
        <f t="shared" si="42"/>
        <v>1.014</v>
      </c>
      <c r="M101" s="107">
        <f t="shared" si="42"/>
        <v>1.135</v>
      </c>
      <c r="N101" s="107">
        <f t="shared" si="42"/>
        <v>1.242</v>
      </c>
      <c r="O101" s="107">
        <f t="shared" si="42"/>
        <v>1.1970000000000001</v>
      </c>
      <c r="P101" s="107">
        <f t="shared" si="42"/>
        <v>1.151</v>
      </c>
      <c r="Q101" s="107">
        <f t="shared" si="42"/>
        <v>0.88900000000000001</v>
      </c>
      <c r="R101" s="107">
        <f t="shared" si="42"/>
        <v>0.95599999999999996</v>
      </c>
      <c r="S101" s="107">
        <f t="shared" si="42"/>
        <v>0.82799999999999996</v>
      </c>
      <c r="T101" s="107">
        <f t="shared" si="42"/>
        <v>0.78400000000000003</v>
      </c>
      <c r="U101" s="107">
        <f t="shared" si="42"/>
        <v>0.79300000000000004</v>
      </c>
      <c r="V101" s="107">
        <f t="shared" si="42"/>
        <v>0.81200000000000006</v>
      </c>
      <c r="W101" s="107">
        <f t="shared" ref="W101:X101" si="43">W56</f>
        <v>0.79800000000000004</v>
      </c>
      <c r="X101" s="107">
        <f t="shared" si="43"/>
        <v>1.115</v>
      </c>
      <c r="Y101" s="107">
        <f t="shared" ref="Y101:Z101" si="44">Y56</f>
        <v>1.093</v>
      </c>
      <c r="Z101" s="107">
        <f t="shared" si="44"/>
        <v>1.147</v>
      </c>
      <c r="AA101" s="14"/>
    </row>
    <row r="102" spans="2:27">
      <c r="B102" s="13"/>
      <c r="C102" s="97" t="s">
        <v>91</v>
      </c>
      <c r="D102" s="97" t="s">
        <v>6</v>
      </c>
      <c r="E102" s="97" t="s">
        <v>86</v>
      </c>
      <c r="F102" s="98" t="s">
        <v>34</v>
      </c>
      <c r="G102" s="107">
        <f t="shared" ref="G102:V102" si="45">G57</f>
        <v>3.5710000000000002</v>
      </c>
      <c r="H102" s="107">
        <f t="shared" si="45"/>
        <v>3.7080000000000002</v>
      </c>
      <c r="I102" s="107">
        <f t="shared" si="45"/>
        <v>3.6230000000000002</v>
      </c>
      <c r="J102" s="107">
        <f t="shared" si="45"/>
        <v>3.722</v>
      </c>
      <c r="K102" s="107">
        <f t="shared" si="45"/>
        <v>3.8540000000000001</v>
      </c>
      <c r="L102" s="107">
        <f t="shared" si="45"/>
        <v>3.9550000000000001</v>
      </c>
      <c r="M102" s="107">
        <f t="shared" si="45"/>
        <v>4.0970000000000004</v>
      </c>
      <c r="N102" s="107">
        <f t="shared" si="45"/>
        <v>4.0960000000000001</v>
      </c>
      <c r="O102" s="107">
        <f t="shared" si="45"/>
        <v>4.165</v>
      </c>
      <c r="P102" s="107">
        <f t="shared" si="45"/>
        <v>3.6419999999999999</v>
      </c>
      <c r="Q102" s="107">
        <f t="shared" si="45"/>
        <v>3.577</v>
      </c>
      <c r="R102" s="107">
        <f t="shared" si="45"/>
        <v>3.4750000000000001</v>
      </c>
      <c r="S102" s="107">
        <f t="shared" si="45"/>
        <v>3.4929999999999999</v>
      </c>
      <c r="T102" s="107">
        <f t="shared" si="45"/>
        <v>3.46</v>
      </c>
      <c r="U102" s="107">
        <f t="shared" si="45"/>
        <v>3.339</v>
      </c>
      <c r="V102" s="107">
        <f t="shared" si="45"/>
        <v>3.4670000000000001</v>
      </c>
      <c r="W102" s="107">
        <f t="shared" ref="W102:X102" si="46">W57</f>
        <v>3.3319999999999999</v>
      </c>
      <c r="X102" s="107">
        <f t="shared" si="46"/>
        <v>3.6240000000000001</v>
      </c>
      <c r="Y102" s="107">
        <f t="shared" ref="Y102:Z102" si="47">Y57</f>
        <v>3.7149999999999999</v>
      </c>
      <c r="Z102" s="107">
        <f t="shared" si="47"/>
        <v>3.7120000000000002</v>
      </c>
      <c r="AA102" s="14"/>
    </row>
    <row r="103" spans="2:27">
      <c r="B103" s="13"/>
      <c r="C103" s="97" t="s">
        <v>92</v>
      </c>
      <c r="D103" s="97" t="s">
        <v>7</v>
      </c>
      <c r="E103" s="97" t="s">
        <v>82</v>
      </c>
      <c r="F103" s="108" t="s">
        <v>14</v>
      </c>
      <c r="G103" s="107">
        <f t="shared" ref="G103:V103" si="48">G58</f>
        <v>4.2</v>
      </c>
      <c r="H103" s="107">
        <f t="shared" si="48"/>
        <v>4.298</v>
      </c>
      <c r="I103" s="107">
        <f t="shared" si="48"/>
        <v>4.2939999999999996</v>
      </c>
      <c r="J103" s="107">
        <f t="shared" si="48"/>
        <v>4.2370000000000001</v>
      </c>
      <c r="K103" s="107">
        <f t="shared" si="48"/>
        <v>4.2939999999999996</v>
      </c>
      <c r="L103" s="107">
        <f t="shared" si="48"/>
        <v>4.3220000000000001</v>
      </c>
      <c r="M103" s="107">
        <f t="shared" si="48"/>
        <v>4.6059999999999999</v>
      </c>
      <c r="N103" s="107">
        <f t="shared" si="48"/>
        <v>4.9770000000000003</v>
      </c>
      <c r="O103" s="107">
        <f t="shared" si="48"/>
        <v>5.1580000000000004</v>
      </c>
      <c r="P103" s="107">
        <f t="shared" si="48"/>
        <v>4.524</v>
      </c>
      <c r="Q103" s="107">
        <f t="shared" si="48"/>
        <v>4.2990000000000004</v>
      </c>
      <c r="R103" s="107">
        <f t="shared" si="48"/>
        <v>4.5250000000000004</v>
      </c>
      <c r="S103" s="107">
        <f t="shared" si="48"/>
        <v>4.5010000000000003</v>
      </c>
      <c r="T103" s="107">
        <f t="shared" si="48"/>
        <v>4.5220000000000002</v>
      </c>
      <c r="U103" s="107">
        <f t="shared" si="48"/>
        <v>4.585</v>
      </c>
      <c r="V103" s="107">
        <f t="shared" si="48"/>
        <v>4.6280000000000001</v>
      </c>
      <c r="W103" s="107">
        <f t="shared" ref="W103:X103" si="49">W58</f>
        <v>4.5439999999999996</v>
      </c>
      <c r="X103" s="107">
        <f t="shared" si="49"/>
        <v>5.1790000000000003</v>
      </c>
      <c r="Y103" s="107">
        <f t="shared" ref="Y103:Z103" si="50">Y58</f>
        <v>5.1829999999999998</v>
      </c>
      <c r="Z103" s="107">
        <f t="shared" si="50"/>
        <v>5.1100000000000003</v>
      </c>
      <c r="AA103" s="14"/>
    </row>
    <row r="104" spans="2:27">
      <c r="B104" s="13"/>
      <c r="C104" s="97" t="s">
        <v>92</v>
      </c>
      <c r="D104" s="97" t="s">
        <v>7</v>
      </c>
      <c r="E104" s="97" t="s">
        <v>83</v>
      </c>
      <c r="F104" s="98" t="s">
        <v>31</v>
      </c>
      <c r="G104" s="107">
        <f t="shared" ref="G104:V104" si="51">G59</f>
        <v>0.61799999999999999</v>
      </c>
      <c r="H104" s="107">
        <f t="shared" si="51"/>
        <v>0.57199999999999995</v>
      </c>
      <c r="I104" s="107">
        <f t="shared" si="51"/>
        <v>0.56799999999999995</v>
      </c>
      <c r="J104" s="107">
        <f t="shared" si="51"/>
        <v>0.53700000000000003</v>
      </c>
      <c r="K104" s="107">
        <f t="shared" si="51"/>
        <v>0.51800000000000002</v>
      </c>
      <c r="L104" s="107">
        <f t="shared" si="51"/>
        <v>0.53600000000000003</v>
      </c>
      <c r="M104" s="107">
        <f t="shared" si="51"/>
        <v>0.52800000000000002</v>
      </c>
      <c r="N104" s="107">
        <f t="shared" si="51"/>
        <v>0.58299999999999996</v>
      </c>
      <c r="O104" s="107">
        <f t="shared" si="51"/>
        <v>0.63</v>
      </c>
      <c r="P104" s="107">
        <f t="shared" si="51"/>
        <v>0.57099999999999995</v>
      </c>
      <c r="Q104" s="107">
        <f t="shared" si="51"/>
        <v>0.52800000000000002</v>
      </c>
      <c r="R104" s="107">
        <f t="shared" si="51"/>
        <v>0.59799999999999998</v>
      </c>
      <c r="S104" s="107">
        <f t="shared" si="51"/>
        <v>0.58699999999999997</v>
      </c>
      <c r="T104" s="107">
        <f t="shared" si="51"/>
        <v>0.627</v>
      </c>
      <c r="U104" s="107">
        <f t="shared" si="51"/>
        <v>0.64900000000000002</v>
      </c>
      <c r="V104" s="107">
        <f t="shared" si="51"/>
        <v>0.64100000000000001</v>
      </c>
      <c r="W104" s="107">
        <f t="shared" ref="W104:X104" si="52">W59</f>
        <v>0.66900000000000004</v>
      </c>
      <c r="X104" s="107">
        <f t="shared" si="52"/>
        <v>0.68200000000000005</v>
      </c>
      <c r="Y104" s="107">
        <f t="shared" ref="Y104:Z104" si="53">Y59</f>
        <v>0.66800000000000004</v>
      </c>
      <c r="Z104" s="107">
        <f t="shared" si="53"/>
        <v>0.70699999999999996</v>
      </c>
      <c r="AA104" s="14"/>
    </row>
    <row r="105" spans="2:27">
      <c r="B105" s="13"/>
      <c r="C105" s="97" t="s">
        <v>92</v>
      </c>
      <c r="D105" s="97" t="s">
        <v>7</v>
      </c>
      <c r="E105" s="97" t="s">
        <v>84</v>
      </c>
      <c r="F105" s="98" t="s">
        <v>32</v>
      </c>
      <c r="G105" s="107">
        <f t="shared" ref="G105:V105" si="54">G60</f>
        <v>1.0289999999999999</v>
      </c>
      <c r="H105" s="107">
        <f t="shared" si="54"/>
        <v>1.0629999999999999</v>
      </c>
      <c r="I105" s="107">
        <f t="shared" si="54"/>
        <v>1.032</v>
      </c>
      <c r="J105" s="107">
        <f t="shared" si="54"/>
        <v>1.008</v>
      </c>
      <c r="K105" s="107">
        <f t="shared" si="54"/>
        <v>1.113</v>
      </c>
      <c r="L105" s="107">
        <f t="shared" si="54"/>
        <v>1.0649999999999999</v>
      </c>
      <c r="M105" s="107">
        <f t="shared" si="54"/>
        <v>1.224</v>
      </c>
      <c r="N105" s="107">
        <f t="shared" si="54"/>
        <v>1.2989999999999999</v>
      </c>
      <c r="O105" s="107">
        <f t="shared" si="54"/>
        <v>1.419</v>
      </c>
      <c r="P105" s="107">
        <f t="shared" si="54"/>
        <v>1.0760000000000001</v>
      </c>
      <c r="Q105" s="107">
        <f t="shared" si="54"/>
        <v>1.196</v>
      </c>
      <c r="R105" s="107">
        <f t="shared" si="54"/>
        <v>1.2829999999999999</v>
      </c>
      <c r="S105" s="107">
        <f t="shared" si="54"/>
        <v>1.2490000000000001</v>
      </c>
      <c r="T105" s="107">
        <f t="shared" si="54"/>
        <v>1.2789999999999999</v>
      </c>
      <c r="U105" s="107">
        <f t="shared" si="54"/>
        <v>1.325</v>
      </c>
      <c r="V105" s="107">
        <f t="shared" si="54"/>
        <v>1.2709999999999999</v>
      </c>
      <c r="W105" s="107">
        <f t="shared" ref="W105:X105" si="55">W60</f>
        <v>1.29</v>
      </c>
      <c r="X105" s="107">
        <f t="shared" si="55"/>
        <v>1.343</v>
      </c>
      <c r="Y105" s="107">
        <f t="shared" ref="Y105:Z105" si="56">Y60</f>
        <v>1.4239999999999999</v>
      </c>
      <c r="Z105" s="107">
        <f t="shared" si="56"/>
        <v>1.3460000000000001</v>
      </c>
      <c r="AA105" s="14"/>
    </row>
    <row r="106" spans="2:27">
      <c r="B106" s="13"/>
      <c r="C106" s="97" t="s">
        <v>92</v>
      </c>
      <c r="D106" s="97" t="s">
        <v>7</v>
      </c>
      <c r="E106" s="97" t="s">
        <v>85</v>
      </c>
      <c r="F106" s="98" t="s">
        <v>33</v>
      </c>
      <c r="G106" s="107">
        <f t="shared" ref="G106:V106" si="57">G61</f>
        <v>0.89600000000000002</v>
      </c>
      <c r="H106" s="107">
        <f t="shared" si="57"/>
        <v>0.97599999999999998</v>
      </c>
      <c r="I106" s="107">
        <f t="shared" si="57"/>
        <v>0.999</v>
      </c>
      <c r="J106" s="107">
        <f t="shared" si="57"/>
        <v>0.96399999999999997</v>
      </c>
      <c r="K106" s="107">
        <f t="shared" si="57"/>
        <v>0.93899999999999995</v>
      </c>
      <c r="L106" s="107">
        <f t="shared" si="57"/>
        <v>0.97399999999999998</v>
      </c>
      <c r="M106" s="107">
        <f t="shared" si="57"/>
        <v>1.0629999999999999</v>
      </c>
      <c r="N106" s="107">
        <f t="shared" si="57"/>
        <v>1.1919999999999999</v>
      </c>
      <c r="O106" s="107">
        <f t="shared" si="57"/>
        <v>1.1950000000000001</v>
      </c>
      <c r="P106" s="107">
        <f t="shared" si="57"/>
        <v>1.236</v>
      </c>
      <c r="Q106" s="107">
        <f t="shared" si="57"/>
        <v>0.94899999999999995</v>
      </c>
      <c r="R106" s="107">
        <f t="shared" si="57"/>
        <v>1.004</v>
      </c>
      <c r="S106" s="107">
        <f t="shared" si="57"/>
        <v>0.91800000000000004</v>
      </c>
      <c r="T106" s="107">
        <f t="shared" si="57"/>
        <v>0.91300000000000003</v>
      </c>
      <c r="U106" s="107">
        <f t="shared" si="57"/>
        <v>0.93600000000000005</v>
      </c>
      <c r="V106" s="107">
        <f t="shared" si="57"/>
        <v>0.995</v>
      </c>
      <c r="W106" s="107">
        <f t="shared" ref="W106:X106" si="58">W61</f>
        <v>0.94099999999999995</v>
      </c>
      <c r="X106" s="107">
        <f t="shared" si="58"/>
        <v>1.377</v>
      </c>
      <c r="Y106" s="107">
        <f t="shared" ref="Y106:Z106" si="59">Y61</f>
        <v>1.2849999999999999</v>
      </c>
      <c r="Z106" s="107">
        <f t="shared" si="59"/>
        <v>1.341</v>
      </c>
      <c r="AA106" s="14"/>
    </row>
    <row r="107" spans="2:27">
      <c r="B107" s="13"/>
      <c r="C107" s="97" t="s">
        <v>92</v>
      </c>
      <c r="D107" s="97" t="s">
        <v>7</v>
      </c>
      <c r="E107" s="97" t="s">
        <v>86</v>
      </c>
      <c r="F107" s="98" t="s">
        <v>34</v>
      </c>
      <c r="G107" s="107">
        <f t="shared" ref="G107:V107" si="60">G62</f>
        <v>1.6579999999999999</v>
      </c>
      <c r="H107" s="107">
        <f t="shared" si="60"/>
        <v>1.6870000000000001</v>
      </c>
      <c r="I107" s="107">
        <f t="shared" si="60"/>
        <v>1.6950000000000001</v>
      </c>
      <c r="J107" s="107">
        <f t="shared" si="60"/>
        <v>1.7290000000000001</v>
      </c>
      <c r="K107" s="107">
        <f t="shared" si="60"/>
        <v>1.722</v>
      </c>
      <c r="L107" s="107">
        <f t="shared" si="60"/>
        <v>1.7470000000000001</v>
      </c>
      <c r="M107" s="107">
        <f t="shared" si="60"/>
        <v>1.7909999999999999</v>
      </c>
      <c r="N107" s="107">
        <f t="shared" si="60"/>
        <v>1.903</v>
      </c>
      <c r="O107" s="107">
        <f t="shared" si="60"/>
        <v>1.9139999999999999</v>
      </c>
      <c r="P107" s="107">
        <f t="shared" si="60"/>
        <v>1.641</v>
      </c>
      <c r="Q107" s="107">
        <f t="shared" si="60"/>
        <v>1.625</v>
      </c>
      <c r="R107" s="107">
        <f t="shared" si="60"/>
        <v>1.641</v>
      </c>
      <c r="S107" s="107">
        <f t="shared" si="60"/>
        <v>1.7470000000000001</v>
      </c>
      <c r="T107" s="107">
        <f t="shared" si="60"/>
        <v>1.702</v>
      </c>
      <c r="U107" s="107">
        <f t="shared" si="60"/>
        <v>1.6759999999999999</v>
      </c>
      <c r="V107" s="107">
        <f t="shared" si="60"/>
        <v>1.7210000000000001</v>
      </c>
      <c r="W107" s="107">
        <f t="shared" ref="W107:X107" si="61">W62</f>
        <v>1.6439999999999999</v>
      </c>
      <c r="X107" s="107">
        <f t="shared" si="61"/>
        <v>1.7769999999999999</v>
      </c>
      <c r="Y107" s="107">
        <f t="shared" ref="Y107:Z107" si="62">Y62</f>
        <v>1.8069999999999999</v>
      </c>
      <c r="Z107" s="107">
        <f t="shared" si="62"/>
        <v>1.716</v>
      </c>
      <c r="AA107" s="14"/>
    </row>
    <row r="108" spans="2:27">
      <c r="B108" s="13"/>
      <c r="C108" s="97" t="s">
        <v>93</v>
      </c>
      <c r="D108" s="97" t="s">
        <v>3</v>
      </c>
      <c r="E108" s="97" t="s">
        <v>82</v>
      </c>
      <c r="F108" s="108" t="s">
        <v>14</v>
      </c>
      <c r="G108" s="107">
        <f t="shared" ref="G108:V108" si="63">G63</f>
        <v>16.181999999999999</v>
      </c>
      <c r="H108" s="107">
        <f t="shared" si="63"/>
        <v>16.527000000000001</v>
      </c>
      <c r="I108" s="107">
        <f t="shared" si="63"/>
        <v>16.452000000000002</v>
      </c>
      <c r="J108" s="107">
        <f t="shared" si="63"/>
        <v>16.52</v>
      </c>
      <c r="K108" s="107">
        <f t="shared" si="63"/>
        <v>17.152000000000001</v>
      </c>
      <c r="L108" s="107">
        <f t="shared" si="63"/>
        <v>17.32</v>
      </c>
      <c r="M108" s="107">
        <f t="shared" si="63"/>
        <v>17.917999999999999</v>
      </c>
      <c r="N108" s="107">
        <f t="shared" si="63"/>
        <v>18.306000000000001</v>
      </c>
      <c r="O108" s="107">
        <f t="shared" si="63"/>
        <v>17.88</v>
      </c>
      <c r="P108" s="107">
        <f t="shared" si="63"/>
        <v>15.442</v>
      </c>
      <c r="Q108" s="107">
        <f t="shared" si="63"/>
        <v>15.035</v>
      </c>
      <c r="R108" s="107">
        <f t="shared" si="63"/>
        <v>15.603999999999999</v>
      </c>
      <c r="S108" s="107">
        <f t="shared" si="63"/>
        <v>14.323</v>
      </c>
      <c r="T108" s="107">
        <f t="shared" si="63"/>
        <v>13.964</v>
      </c>
      <c r="U108" s="107">
        <f t="shared" si="63"/>
        <v>14.003</v>
      </c>
      <c r="V108" s="107">
        <f t="shared" si="63"/>
        <v>13.907</v>
      </c>
      <c r="W108" s="107">
        <f t="shared" ref="W108:X108" si="64">W63</f>
        <v>13.833</v>
      </c>
      <c r="X108" s="107">
        <f t="shared" si="64"/>
        <v>14.321</v>
      </c>
      <c r="Y108" s="107">
        <f t="shared" ref="Y108:Z108" si="65">Y63</f>
        <v>14.548999999999999</v>
      </c>
      <c r="Z108" s="107">
        <f t="shared" si="65"/>
        <v>14.458</v>
      </c>
      <c r="AA108" s="14"/>
    </row>
    <row r="109" spans="2:27">
      <c r="B109" s="13"/>
      <c r="C109" s="97" t="s">
        <v>93</v>
      </c>
      <c r="D109" s="97" t="s">
        <v>3</v>
      </c>
      <c r="E109" s="97" t="s">
        <v>83</v>
      </c>
      <c r="F109" s="98" t="s">
        <v>31</v>
      </c>
      <c r="G109" s="107">
        <f t="shared" ref="G109:V109" si="66">G64</f>
        <v>3.359</v>
      </c>
      <c r="H109" s="107">
        <f t="shared" si="66"/>
        <v>3.3490000000000002</v>
      </c>
      <c r="I109" s="107">
        <f t="shared" si="66"/>
        <v>3.3420000000000001</v>
      </c>
      <c r="J109" s="107">
        <f t="shared" si="66"/>
        <v>3.0830000000000002</v>
      </c>
      <c r="K109" s="107">
        <f t="shared" si="66"/>
        <v>3.52</v>
      </c>
      <c r="L109" s="107">
        <f t="shared" si="66"/>
        <v>3.3359999999999999</v>
      </c>
      <c r="M109" s="107">
        <f t="shared" si="66"/>
        <v>3.1749999999999998</v>
      </c>
      <c r="N109" s="107">
        <f t="shared" si="66"/>
        <v>3.2879999999999998</v>
      </c>
      <c r="O109" s="107">
        <f t="shared" si="66"/>
        <v>3.3220000000000001</v>
      </c>
      <c r="P109" s="107">
        <f t="shared" si="66"/>
        <v>3.2090000000000001</v>
      </c>
      <c r="Q109" s="107">
        <f t="shared" si="66"/>
        <v>3.1419999999999999</v>
      </c>
      <c r="R109" s="107">
        <f t="shared" si="66"/>
        <v>3.2789999999999999</v>
      </c>
      <c r="S109" s="107">
        <f t="shared" si="66"/>
        <v>3.1349999999999998</v>
      </c>
      <c r="T109" s="107">
        <f t="shared" si="66"/>
        <v>3.1880000000000002</v>
      </c>
      <c r="U109" s="107">
        <f t="shared" si="66"/>
        <v>3.4079999999999999</v>
      </c>
      <c r="V109" s="107">
        <f t="shared" si="66"/>
        <v>3.1539999999999999</v>
      </c>
      <c r="W109" s="107">
        <f t="shared" ref="W109:X109" si="67">W64</f>
        <v>3.21</v>
      </c>
      <c r="X109" s="107">
        <f t="shared" si="67"/>
        <v>3.32</v>
      </c>
      <c r="Y109" s="107">
        <f t="shared" ref="Y109:Z109" si="68">Y64</f>
        <v>3.2250000000000001</v>
      </c>
      <c r="Z109" s="107">
        <f t="shared" si="68"/>
        <v>3.1859999999999999</v>
      </c>
      <c r="AA109" s="14"/>
    </row>
    <row r="110" spans="2:27">
      <c r="B110" s="13"/>
      <c r="C110" s="97" t="s">
        <v>93</v>
      </c>
      <c r="D110" s="97" t="s">
        <v>3</v>
      </c>
      <c r="E110" s="97" t="s">
        <v>84</v>
      </c>
      <c r="F110" s="98" t="s">
        <v>32</v>
      </c>
      <c r="G110" s="107">
        <f t="shared" ref="G110:V110" si="69">G65</f>
        <v>1.6479999999999999</v>
      </c>
      <c r="H110" s="107">
        <f t="shared" si="69"/>
        <v>1.7470000000000001</v>
      </c>
      <c r="I110" s="107">
        <f t="shared" si="69"/>
        <v>1.7849999999999999</v>
      </c>
      <c r="J110" s="107">
        <f t="shared" si="69"/>
        <v>1.8</v>
      </c>
      <c r="K110" s="107">
        <f t="shared" si="69"/>
        <v>1.7250000000000001</v>
      </c>
      <c r="L110" s="107">
        <f t="shared" si="69"/>
        <v>1.75</v>
      </c>
      <c r="M110" s="107">
        <f t="shared" si="69"/>
        <v>1.895</v>
      </c>
      <c r="N110" s="107">
        <f t="shared" si="69"/>
        <v>1.8540000000000001</v>
      </c>
      <c r="O110" s="107">
        <f t="shared" si="69"/>
        <v>1.774</v>
      </c>
      <c r="P110" s="107">
        <f t="shared" si="69"/>
        <v>1.26</v>
      </c>
      <c r="Q110" s="107">
        <f t="shared" si="69"/>
        <v>1.49</v>
      </c>
      <c r="R110" s="107">
        <f t="shared" si="69"/>
        <v>1.4370000000000001</v>
      </c>
      <c r="S110" s="107">
        <f t="shared" si="69"/>
        <v>1.29</v>
      </c>
      <c r="T110" s="107">
        <f t="shared" si="69"/>
        <v>1.347</v>
      </c>
      <c r="U110" s="107">
        <f t="shared" si="69"/>
        <v>1.3460000000000001</v>
      </c>
      <c r="V110" s="107">
        <f t="shared" si="69"/>
        <v>1.39</v>
      </c>
      <c r="W110" s="107">
        <f t="shared" ref="W110:X110" si="70">W65</f>
        <v>1.4039999999999999</v>
      </c>
      <c r="X110" s="107">
        <f t="shared" si="70"/>
        <v>1.4590000000000001</v>
      </c>
      <c r="Y110" s="107">
        <f t="shared" ref="Y110:Z110" si="71">Y65</f>
        <v>1.466</v>
      </c>
      <c r="Z110" s="107">
        <f t="shared" si="71"/>
        <v>1.351</v>
      </c>
      <c r="AA110" s="14"/>
    </row>
    <row r="111" spans="2:27">
      <c r="B111" s="13"/>
      <c r="C111" s="97" t="s">
        <v>93</v>
      </c>
      <c r="D111" s="97" t="s">
        <v>3</v>
      </c>
      <c r="E111" s="97" t="s">
        <v>85</v>
      </c>
      <c r="F111" s="98" t="s">
        <v>33</v>
      </c>
      <c r="G111" s="107">
        <f t="shared" ref="G111:V111" si="72">G66</f>
        <v>7.4409999999999998</v>
      </c>
      <c r="H111" s="107">
        <f t="shared" si="72"/>
        <v>7.5709999999999997</v>
      </c>
      <c r="I111" s="107">
        <f t="shared" si="72"/>
        <v>7.569</v>
      </c>
      <c r="J111" s="107">
        <f t="shared" si="72"/>
        <v>7.819</v>
      </c>
      <c r="K111" s="107">
        <f t="shared" si="72"/>
        <v>7.9589999999999996</v>
      </c>
      <c r="L111" s="107">
        <f t="shared" si="72"/>
        <v>8.2560000000000002</v>
      </c>
      <c r="M111" s="107">
        <f t="shared" si="72"/>
        <v>8.8030000000000008</v>
      </c>
      <c r="N111" s="107">
        <f t="shared" si="72"/>
        <v>9.2780000000000005</v>
      </c>
      <c r="O111" s="107">
        <f t="shared" si="72"/>
        <v>8.8859999999999992</v>
      </c>
      <c r="P111" s="107">
        <f t="shared" si="72"/>
        <v>7.415</v>
      </c>
      <c r="Q111" s="107">
        <f t="shared" si="72"/>
        <v>6.8979999999999997</v>
      </c>
      <c r="R111" s="107">
        <f t="shared" si="72"/>
        <v>7.4560000000000004</v>
      </c>
      <c r="S111" s="107">
        <f t="shared" si="72"/>
        <v>6.5659999999999998</v>
      </c>
      <c r="T111" s="107">
        <f t="shared" si="72"/>
        <v>6.1449999999999996</v>
      </c>
      <c r="U111" s="107">
        <f t="shared" si="72"/>
        <v>6.1420000000000003</v>
      </c>
      <c r="V111" s="107">
        <f t="shared" si="72"/>
        <v>6.2279999999999998</v>
      </c>
      <c r="W111" s="107">
        <f t="shared" ref="W111:X111" si="73">W66</f>
        <v>6.2409999999999997</v>
      </c>
      <c r="X111" s="107">
        <f t="shared" si="73"/>
        <v>6.4059999999999997</v>
      </c>
      <c r="Y111" s="107">
        <f t="shared" ref="Y111:Z111" si="74">Y66</f>
        <v>6.6909999999999998</v>
      </c>
      <c r="Z111" s="107">
        <f t="shared" si="74"/>
        <v>6.8559999999999999</v>
      </c>
      <c r="AA111" s="14"/>
    </row>
    <row r="112" spans="2:27">
      <c r="B112" s="13"/>
      <c r="C112" s="97" t="s">
        <v>93</v>
      </c>
      <c r="D112" s="97" t="s">
        <v>3</v>
      </c>
      <c r="E112" s="97" t="s">
        <v>86</v>
      </c>
      <c r="F112" s="98" t="s">
        <v>34</v>
      </c>
      <c r="G112" s="107">
        <f t="shared" ref="G112:V112" si="75">G67</f>
        <v>3.734</v>
      </c>
      <c r="H112" s="107">
        <f t="shared" si="75"/>
        <v>3.86</v>
      </c>
      <c r="I112" s="107">
        <f t="shared" si="75"/>
        <v>3.7570000000000001</v>
      </c>
      <c r="J112" s="107">
        <f t="shared" si="75"/>
        <v>3.8180000000000001</v>
      </c>
      <c r="K112" s="107">
        <f t="shared" si="75"/>
        <v>3.948</v>
      </c>
      <c r="L112" s="107">
        <f t="shared" si="75"/>
        <v>3.9780000000000002</v>
      </c>
      <c r="M112" s="107">
        <f t="shared" si="75"/>
        <v>4.0460000000000003</v>
      </c>
      <c r="N112" s="107">
        <f t="shared" si="75"/>
        <v>3.8860000000000001</v>
      </c>
      <c r="O112" s="107">
        <f t="shared" si="75"/>
        <v>3.8980000000000001</v>
      </c>
      <c r="P112" s="107">
        <f t="shared" si="75"/>
        <v>3.5590000000000002</v>
      </c>
      <c r="Q112" s="107">
        <f t="shared" si="75"/>
        <v>3.5049999999999999</v>
      </c>
      <c r="R112" s="107">
        <f t="shared" si="75"/>
        <v>3.4319999999999999</v>
      </c>
      <c r="S112" s="107">
        <f t="shared" si="75"/>
        <v>3.3319999999999999</v>
      </c>
      <c r="T112" s="107">
        <f t="shared" si="75"/>
        <v>3.2839999999999998</v>
      </c>
      <c r="U112" s="107">
        <f t="shared" si="75"/>
        <v>3.1070000000000002</v>
      </c>
      <c r="V112" s="107">
        <f t="shared" si="75"/>
        <v>3.1339999999999999</v>
      </c>
      <c r="W112" s="107">
        <f t="shared" ref="W112:X112" si="76">W67</f>
        <v>2.9780000000000002</v>
      </c>
      <c r="X112" s="107">
        <f t="shared" si="76"/>
        <v>3.1360000000000001</v>
      </c>
      <c r="Y112" s="107">
        <f t="shared" ref="Y112:Z112" si="77">Y67</f>
        <v>3.1659999999999999</v>
      </c>
      <c r="Z112" s="107">
        <f t="shared" si="77"/>
        <v>3.0659999999999998</v>
      </c>
      <c r="AA112" s="14"/>
    </row>
    <row r="113" spans="2:27">
      <c r="B113" s="13"/>
      <c r="C113" s="97" t="s">
        <v>94</v>
      </c>
      <c r="D113" s="97" t="s">
        <v>2</v>
      </c>
      <c r="E113" s="97" t="s">
        <v>82</v>
      </c>
      <c r="F113" s="108" t="s">
        <v>14</v>
      </c>
      <c r="G113" s="107">
        <f t="shared" ref="G113:V113" si="78">G68</f>
        <v>20.382000000000001</v>
      </c>
      <c r="H113" s="107">
        <f t="shared" si="78"/>
        <v>20.824999999999999</v>
      </c>
      <c r="I113" s="107">
        <f t="shared" si="78"/>
        <v>20.747</v>
      </c>
      <c r="J113" s="107">
        <f t="shared" si="78"/>
        <v>20.757999999999999</v>
      </c>
      <c r="K113" s="107">
        <f t="shared" si="78"/>
        <v>21.446000000000002</v>
      </c>
      <c r="L113" s="107">
        <f t="shared" si="78"/>
        <v>21.641999999999999</v>
      </c>
      <c r="M113" s="107">
        <f t="shared" si="78"/>
        <v>22.524000000000001</v>
      </c>
      <c r="N113" s="107">
        <f t="shared" si="78"/>
        <v>23.283000000000001</v>
      </c>
      <c r="O113" s="107">
        <f t="shared" si="78"/>
        <v>23.038</v>
      </c>
      <c r="P113" s="107">
        <f t="shared" si="78"/>
        <v>19.966000000000001</v>
      </c>
      <c r="Q113" s="107">
        <f t="shared" si="78"/>
        <v>19.334</v>
      </c>
      <c r="R113" s="107">
        <f t="shared" si="78"/>
        <v>20.129000000000001</v>
      </c>
      <c r="S113" s="107">
        <f t="shared" si="78"/>
        <v>18.824999999999999</v>
      </c>
      <c r="T113" s="107">
        <f t="shared" si="78"/>
        <v>18.486000000000001</v>
      </c>
      <c r="U113" s="107">
        <f t="shared" si="78"/>
        <v>18.588000000000001</v>
      </c>
      <c r="V113" s="107">
        <f t="shared" si="78"/>
        <v>18.535</v>
      </c>
      <c r="W113" s="107">
        <f t="shared" ref="W113:X113" si="79">W68</f>
        <v>18.376999999999999</v>
      </c>
      <c r="X113" s="107">
        <f t="shared" si="79"/>
        <v>19.5</v>
      </c>
      <c r="Y113" s="107">
        <f t="shared" ref="Y113:Z113" si="80">Y68</f>
        <v>19.731999999999999</v>
      </c>
      <c r="Z113" s="107">
        <f t="shared" si="80"/>
        <v>19.568000000000001</v>
      </c>
      <c r="AA113" s="14"/>
    </row>
    <row r="114" spans="2:27">
      <c r="B114" s="13"/>
      <c r="C114" s="97" t="s">
        <v>94</v>
      </c>
      <c r="D114" s="97" t="s">
        <v>2</v>
      </c>
      <c r="E114" s="97" t="s">
        <v>83</v>
      </c>
      <c r="F114" s="98" t="s">
        <v>31</v>
      </c>
      <c r="G114" s="107">
        <f t="shared" ref="G114:V114" si="81">G69</f>
        <v>3.976</v>
      </c>
      <c r="H114" s="107">
        <f t="shared" si="81"/>
        <v>3.9209999999999998</v>
      </c>
      <c r="I114" s="107">
        <f t="shared" si="81"/>
        <v>3.91</v>
      </c>
      <c r="J114" s="107">
        <f t="shared" si="81"/>
        <v>3.62</v>
      </c>
      <c r="K114" s="107">
        <f t="shared" si="81"/>
        <v>4.0380000000000003</v>
      </c>
      <c r="L114" s="107">
        <f t="shared" si="81"/>
        <v>3.8730000000000002</v>
      </c>
      <c r="M114" s="107">
        <f t="shared" si="81"/>
        <v>3.7029999999999998</v>
      </c>
      <c r="N114" s="107">
        <f t="shared" si="81"/>
        <v>3.871</v>
      </c>
      <c r="O114" s="107">
        <f t="shared" si="81"/>
        <v>3.952</v>
      </c>
      <c r="P114" s="107">
        <f t="shared" si="81"/>
        <v>3.7789999999999999</v>
      </c>
      <c r="Q114" s="107">
        <f t="shared" si="81"/>
        <v>3.67</v>
      </c>
      <c r="R114" s="107">
        <f t="shared" si="81"/>
        <v>3.8769999999999998</v>
      </c>
      <c r="S114" s="107">
        <f t="shared" si="81"/>
        <v>3.722</v>
      </c>
      <c r="T114" s="107">
        <f t="shared" si="81"/>
        <v>3.8149999999999999</v>
      </c>
      <c r="U114" s="107">
        <f t="shared" si="81"/>
        <v>4.0570000000000004</v>
      </c>
      <c r="V114" s="107">
        <f t="shared" si="81"/>
        <v>3.7949999999999999</v>
      </c>
      <c r="W114" s="107">
        <f t="shared" ref="W114:X114" si="82">W69</f>
        <v>3.879</v>
      </c>
      <c r="X114" s="107">
        <f t="shared" si="82"/>
        <v>4.0019999999999998</v>
      </c>
      <c r="Y114" s="107">
        <f t="shared" ref="Y114:Z114" si="83">Y69</f>
        <v>3.8929999999999998</v>
      </c>
      <c r="Z114" s="107">
        <f t="shared" si="83"/>
        <v>3.8929999999999998</v>
      </c>
      <c r="AA114" s="14"/>
    </row>
    <row r="115" spans="2:27">
      <c r="B115" s="13"/>
      <c r="C115" s="97" t="s">
        <v>94</v>
      </c>
      <c r="D115" s="97" t="s">
        <v>2</v>
      </c>
      <c r="E115" s="97" t="s">
        <v>84</v>
      </c>
      <c r="F115" s="98" t="s">
        <v>32</v>
      </c>
      <c r="G115" s="107">
        <f t="shared" ref="G115:V115" si="84">G70</f>
        <v>2.677</v>
      </c>
      <c r="H115" s="107">
        <f t="shared" si="84"/>
        <v>2.81</v>
      </c>
      <c r="I115" s="107">
        <f t="shared" si="84"/>
        <v>2.8170000000000002</v>
      </c>
      <c r="J115" s="107">
        <f t="shared" si="84"/>
        <v>2.8079999999999998</v>
      </c>
      <c r="K115" s="107">
        <f t="shared" si="84"/>
        <v>2.839</v>
      </c>
      <c r="L115" s="107">
        <f t="shared" si="84"/>
        <v>2.8149999999999999</v>
      </c>
      <c r="M115" s="107">
        <f t="shared" si="84"/>
        <v>3.1190000000000002</v>
      </c>
      <c r="N115" s="107">
        <f t="shared" si="84"/>
        <v>3.153</v>
      </c>
      <c r="O115" s="107">
        <f t="shared" si="84"/>
        <v>3.1930000000000001</v>
      </c>
      <c r="P115" s="107">
        <f t="shared" si="84"/>
        <v>2.3359999999999999</v>
      </c>
      <c r="Q115" s="107">
        <f t="shared" si="84"/>
        <v>2.6859999999999999</v>
      </c>
      <c r="R115" s="107">
        <f t="shared" si="84"/>
        <v>2.72</v>
      </c>
      <c r="S115" s="107">
        <f t="shared" si="84"/>
        <v>2.5390000000000001</v>
      </c>
      <c r="T115" s="107">
        <f t="shared" si="84"/>
        <v>2.6259999999999999</v>
      </c>
      <c r="U115" s="107">
        <f t="shared" si="84"/>
        <v>2.6709999999999998</v>
      </c>
      <c r="V115" s="107">
        <f t="shared" si="84"/>
        <v>2.661</v>
      </c>
      <c r="W115" s="107">
        <f t="shared" ref="W115:X115" si="85">W70</f>
        <v>2.694</v>
      </c>
      <c r="X115" s="107">
        <f t="shared" si="85"/>
        <v>2.802</v>
      </c>
      <c r="Y115" s="107">
        <f t="shared" ref="Y115:Z115" si="86">Y70</f>
        <v>2.89</v>
      </c>
      <c r="Z115" s="107">
        <f t="shared" si="86"/>
        <v>2.6970000000000001</v>
      </c>
      <c r="AA115" s="14"/>
    </row>
    <row r="116" spans="2:27">
      <c r="B116" s="13"/>
      <c r="C116" s="97" t="s">
        <v>94</v>
      </c>
      <c r="D116" s="97" t="s">
        <v>2</v>
      </c>
      <c r="E116" s="97" t="s">
        <v>85</v>
      </c>
      <c r="F116" s="98" t="s">
        <v>33</v>
      </c>
      <c r="G116" s="107">
        <f t="shared" ref="G116:V116" si="87">G71</f>
        <v>8.3360000000000003</v>
      </c>
      <c r="H116" s="107">
        <f t="shared" si="87"/>
        <v>8.5470000000000006</v>
      </c>
      <c r="I116" s="107">
        <f t="shared" si="87"/>
        <v>8.5679999999999996</v>
      </c>
      <c r="J116" s="107">
        <f t="shared" si="87"/>
        <v>8.782</v>
      </c>
      <c r="K116" s="107">
        <f t="shared" si="87"/>
        <v>8.8979999999999997</v>
      </c>
      <c r="L116" s="107">
        <f t="shared" si="87"/>
        <v>9.23</v>
      </c>
      <c r="M116" s="107">
        <f t="shared" si="87"/>
        <v>9.8659999999999997</v>
      </c>
      <c r="N116" s="107">
        <f t="shared" si="87"/>
        <v>10.47</v>
      </c>
      <c r="O116" s="107">
        <f t="shared" si="87"/>
        <v>10.081</v>
      </c>
      <c r="P116" s="107">
        <f t="shared" si="87"/>
        <v>8.6509999999999998</v>
      </c>
      <c r="Q116" s="107">
        <f t="shared" si="87"/>
        <v>7.8479999999999999</v>
      </c>
      <c r="R116" s="107">
        <f t="shared" si="87"/>
        <v>8.4600000000000009</v>
      </c>
      <c r="S116" s="107">
        <f t="shared" si="87"/>
        <v>7.484</v>
      </c>
      <c r="T116" s="107">
        <f t="shared" si="87"/>
        <v>7.0590000000000002</v>
      </c>
      <c r="U116" s="107">
        <f t="shared" si="87"/>
        <v>7.077</v>
      </c>
      <c r="V116" s="107">
        <f t="shared" si="87"/>
        <v>7.2229999999999999</v>
      </c>
      <c r="W116" s="107">
        <f t="shared" ref="W116:X116" si="88">W71</f>
        <v>7.1829999999999998</v>
      </c>
      <c r="X116" s="107">
        <f t="shared" si="88"/>
        <v>7.7830000000000004</v>
      </c>
      <c r="Y116" s="107">
        <f t="shared" ref="Y116:Z116" si="89">Y71</f>
        <v>7.976</v>
      </c>
      <c r="Z116" s="107">
        <f t="shared" si="89"/>
        <v>8.1959999999999997</v>
      </c>
      <c r="AA116" s="14"/>
    </row>
    <row r="117" spans="2:27">
      <c r="B117" s="13"/>
      <c r="C117" s="97" t="s">
        <v>94</v>
      </c>
      <c r="D117" s="97" t="s">
        <v>2</v>
      </c>
      <c r="E117" s="97" t="s">
        <v>86</v>
      </c>
      <c r="F117" s="98" t="s">
        <v>34</v>
      </c>
      <c r="G117" s="107">
        <f t="shared" ref="G117:V117" si="90">G72</f>
        <v>5.3920000000000003</v>
      </c>
      <c r="H117" s="107">
        <f t="shared" si="90"/>
        <v>5.5469999999999997</v>
      </c>
      <c r="I117" s="107">
        <f t="shared" si="90"/>
        <v>5.452</v>
      </c>
      <c r="J117" s="107">
        <f t="shared" si="90"/>
        <v>5.5469999999999997</v>
      </c>
      <c r="K117" s="107">
        <f t="shared" si="90"/>
        <v>5.67</v>
      </c>
      <c r="L117" s="107">
        <f t="shared" si="90"/>
        <v>5.7249999999999996</v>
      </c>
      <c r="M117" s="107">
        <f t="shared" si="90"/>
        <v>5.8360000000000003</v>
      </c>
      <c r="N117" s="107">
        <f t="shared" si="90"/>
        <v>5.7889999999999997</v>
      </c>
      <c r="O117" s="107">
        <f t="shared" si="90"/>
        <v>5.8120000000000003</v>
      </c>
      <c r="P117" s="107">
        <f t="shared" si="90"/>
        <v>5.2</v>
      </c>
      <c r="Q117" s="107">
        <f t="shared" si="90"/>
        <v>5.13</v>
      </c>
      <c r="R117" s="107">
        <f t="shared" si="90"/>
        <v>5.0720000000000001</v>
      </c>
      <c r="S117" s="107">
        <f t="shared" si="90"/>
        <v>5.0789999999999997</v>
      </c>
      <c r="T117" s="107">
        <f t="shared" si="90"/>
        <v>4.9859999999999998</v>
      </c>
      <c r="U117" s="107">
        <f t="shared" si="90"/>
        <v>4.7830000000000004</v>
      </c>
      <c r="V117" s="107">
        <f t="shared" si="90"/>
        <v>4.8550000000000004</v>
      </c>
      <c r="W117" s="107">
        <f t="shared" ref="W117:X117" si="91">W72</f>
        <v>4.6210000000000004</v>
      </c>
      <c r="X117" s="107">
        <f t="shared" si="91"/>
        <v>4.9130000000000003</v>
      </c>
      <c r="Y117" s="107">
        <f t="shared" ref="Y117:Z117" si="92">Y72</f>
        <v>4.9729999999999999</v>
      </c>
      <c r="Z117" s="107">
        <f t="shared" si="92"/>
        <v>4.782</v>
      </c>
      <c r="AA117" s="14"/>
    </row>
    <row r="118" spans="2:27">
      <c r="B118" s="13"/>
      <c r="C118" s="109" t="s">
        <v>95</v>
      </c>
      <c r="D118" s="109" t="s">
        <v>53</v>
      </c>
      <c r="E118" s="109" t="s">
        <v>82</v>
      </c>
      <c r="F118" s="108" t="s">
        <v>14</v>
      </c>
      <c r="G118" s="107">
        <f>G98-G103</f>
        <v>3.234</v>
      </c>
      <c r="H118" s="107">
        <f t="shared" ref="H118:V118" si="93">H98-H103</f>
        <v>3.49</v>
      </c>
      <c r="I118" s="107">
        <f t="shared" si="93"/>
        <v>3.4030000000000005</v>
      </c>
      <c r="J118" s="107">
        <f t="shared" si="93"/>
        <v>3.5329999999999995</v>
      </c>
      <c r="K118" s="107">
        <f t="shared" si="93"/>
        <v>3.5570000000000004</v>
      </c>
      <c r="L118" s="107">
        <f t="shared" si="93"/>
        <v>3.6360000000000001</v>
      </c>
      <c r="M118" s="107">
        <f t="shared" si="93"/>
        <v>3.9260000000000002</v>
      </c>
      <c r="N118" s="107">
        <f t="shared" si="93"/>
        <v>3.770999999999999</v>
      </c>
      <c r="O118" s="107">
        <f t="shared" si="93"/>
        <v>3.6479999999999988</v>
      </c>
      <c r="P118" s="107">
        <f t="shared" si="93"/>
        <v>2.766</v>
      </c>
      <c r="Q118" s="107">
        <f t="shared" si="93"/>
        <v>2.9289999999999994</v>
      </c>
      <c r="R118" s="107">
        <f t="shared" si="93"/>
        <v>2.7329999999999997</v>
      </c>
      <c r="S118" s="107">
        <f t="shared" si="93"/>
        <v>2.4189999999999996</v>
      </c>
      <c r="T118" s="107">
        <f t="shared" si="93"/>
        <v>2.3419999999999996</v>
      </c>
      <c r="U118" s="107">
        <f t="shared" si="93"/>
        <v>2.2930000000000001</v>
      </c>
      <c r="V118" s="107">
        <f t="shared" si="93"/>
        <v>2.3739999999999997</v>
      </c>
      <c r="W118" s="107">
        <f t="shared" ref="W118:X118" si="94">W98-W103</f>
        <v>2.3360000000000003</v>
      </c>
      <c r="X118" s="107">
        <f t="shared" si="94"/>
        <v>2.4390000000000001</v>
      </c>
      <c r="Y118" s="107">
        <f t="shared" ref="Y118:Z118" si="95">Y98-Y103</f>
        <v>2.6029999999999998</v>
      </c>
      <c r="Z118" s="107">
        <f t="shared" si="95"/>
        <v>2.5409999999999995</v>
      </c>
      <c r="AA118" s="14"/>
    </row>
    <row r="119" spans="2:27">
      <c r="B119" s="13"/>
      <c r="C119" s="109" t="s">
        <v>95</v>
      </c>
      <c r="D119" s="109" t="s">
        <v>53</v>
      </c>
      <c r="E119" s="109" t="s">
        <v>83</v>
      </c>
      <c r="F119" s="98" t="s">
        <v>31</v>
      </c>
      <c r="G119" s="107">
        <f t="shared" ref="G119:V122" si="96">G99-G104</f>
        <v>-6.2999999999999945E-2</v>
      </c>
      <c r="H119" s="107">
        <f t="shared" si="96"/>
        <v>-1.9999999999999907E-2</v>
      </c>
      <c r="I119" s="107">
        <f t="shared" si="96"/>
        <v>-2.1999999999999909E-2</v>
      </c>
      <c r="J119" s="107">
        <f t="shared" si="96"/>
        <v>-2.1000000000000019E-2</v>
      </c>
      <c r="K119" s="107">
        <f t="shared" si="96"/>
        <v>-1.8000000000000016E-2</v>
      </c>
      <c r="L119" s="107">
        <f t="shared" si="96"/>
        <v>-4.2000000000000037E-2</v>
      </c>
      <c r="M119" s="107">
        <f t="shared" si="96"/>
        <v>-2.0000000000000018E-2</v>
      </c>
      <c r="N119" s="107">
        <f t="shared" si="96"/>
        <v>-7.0000000000000062E-3</v>
      </c>
      <c r="O119" s="107">
        <f t="shared" si="96"/>
        <v>-6.0000000000000053E-2</v>
      </c>
      <c r="P119" s="107">
        <f t="shared" si="96"/>
        <v>-9.9999999999999978E-2</v>
      </c>
      <c r="Q119" s="107">
        <f t="shared" si="96"/>
        <v>-8.0000000000000016E-2</v>
      </c>
      <c r="R119" s="107">
        <f t="shared" si="96"/>
        <v>-0.10299999999999998</v>
      </c>
      <c r="S119" s="107">
        <f t="shared" si="96"/>
        <v>-0.10899999999999999</v>
      </c>
      <c r="T119" s="107">
        <f t="shared" si="96"/>
        <v>-0.15000000000000002</v>
      </c>
      <c r="U119" s="107">
        <f t="shared" si="96"/>
        <v>-0.14700000000000002</v>
      </c>
      <c r="V119" s="107">
        <f t="shared" si="96"/>
        <v>-0.15300000000000002</v>
      </c>
      <c r="W119" s="107">
        <f t="shared" ref="W119:X119" si="97">W99-W104</f>
        <v>-0.14900000000000002</v>
      </c>
      <c r="X119" s="107">
        <f t="shared" si="97"/>
        <v>-0.13</v>
      </c>
      <c r="Y119" s="107">
        <f t="shared" ref="Y119:Z119" si="98">Y99-Y104</f>
        <v>-9.000000000000008E-2</v>
      </c>
      <c r="Z119" s="107">
        <f t="shared" si="98"/>
        <v>-0.121</v>
      </c>
      <c r="AA119" s="14"/>
    </row>
    <row r="120" spans="2:27">
      <c r="B120" s="13"/>
      <c r="C120" s="109" t="s">
        <v>95</v>
      </c>
      <c r="D120" s="109" t="s">
        <v>53</v>
      </c>
      <c r="E120" s="109" t="s">
        <v>84</v>
      </c>
      <c r="F120" s="98" t="s">
        <v>32</v>
      </c>
      <c r="G120" s="107">
        <f t="shared" si="96"/>
        <v>1.298</v>
      </c>
      <c r="H120" s="107">
        <f t="shared" si="96"/>
        <v>1.41</v>
      </c>
      <c r="I120" s="107">
        <f t="shared" si="96"/>
        <v>1.46</v>
      </c>
      <c r="J120" s="107">
        <f t="shared" si="96"/>
        <v>1.4809999999999999</v>
      </c>
      <c r="K120" s="107">
        <f t="shared" si="96"/>
        <v>1.403</v>
      </c>
      <c r="L120" s="107">
        <f t="shared" si="96"/>
        <v>1.4300000000000002</v>
      </c>
      <c r="M120" s="107">
        <f t="shared" si="96"/>
        <v>1.5679999999999998</v>
      </c>
      <c r="N120" s="107">
        <f t="shared" si="96"/>
        <v>1.5350000000000001</v>
      </c>
      <c r="O120" s="107">
        <f t="shared" si="96"/>
        <v>1.4550000000000001</v>
      </c>
      <c r="P120" s="107">
        <f t="shared" si="96"/>
        <v>0.94999999999999973</v>
      </c>
      <c r="Q120" s="107">
        <f t="shared" si="96"/>
        <v>1.1180000000000001</v>
      </c>
      <c r="R120" s="107">
        <f t="shared" si="96"/>
        <v>1.0489999999999999</v>
      </c>
      <c r="S120" s="107">
        <f t="shared" si="96"/>
        <v>0.871</v>
      </c>
      <c r="T120" s="107">
        <f t="shared" si="96"/>
        <v>0.86399999999999988</v>
      </c>
      <c r="U120" s="107">
        <f t="shared" si="96"/>
        <v>0.91900000000000026</v>
      </c>
      <c r="V120" s="107">
        <f t="shared" si="96"/>
        <v>0.96399999999999997</v>
      </c>
      <c r="W120" s="107">
        <f t="shared" ref="W120:X120" si="99">W100-W105</f>
        <v>0.94</v>
      </c>
      <c r="X120" s="107">
        <f t="shared" si="99"/>
        <v>0.98499999999999988</v>
      </c>
      <c r="Y120" s="107">
        <f t="shared" ref="Y120:Z120" si="100">Y100-Y105</f>
        <v>0.97599999999999998</v>
      </c>
      <c r="Z120" s="107">
        <f t="shared" si="100"/>
        <v>0.85899999999999999</v>
      </c>
      <c r="AA120" s="14"/>
    </row>
    <row r="121" spans="2:27">
      <c r="B121" s="13"/>
      <c r="C121" s="109" t="s">
        <v>95</v>
      </c>
      <c r="D121" s="109" t="s">
        <v>53</v>
      </c>
      <c r="E121" s="109" t="s">
        <v>85</v>
      </c>
      <c r="F121" s="98" t="s">
        <v>33</v>
      </c>
      <c r="G121" s="107">
        <f t="shared" si="96"/>
        <v>8.4999999999999964E-2</v>
      </c>
      <c r="H121" s="107">
        <f t="shared" si="96"/>
        <v>7.8999999999999959E-2</v>
      </c>
      <c r="I121" s="107">
        <f t="shared" si="96"/>
        <v>3.7000000000000033E-2</v>
      </c>
      <c r="J121" s="107">
        <f t="shared" si="96"/>
        <v>7.8999999999999959E-2</v>
      </c>
      <c r="K121" s="107">
        <f t="shared" si="96"/>
        <v>4.2000000000000037E-2</v>
      </c>
      <c r="L121" s="107">
        <f t="shared" si="96"/>
        <v>4.0000000000000036E-2</v>
      </c>
      <c r="M121" s="107">
        <f t="shared" si="96"/>
        <v>7.2000000000000064E-2</v>
      </c>
      <c r="N121" s="107">
        <f t="shared" si="96"/>
        <v>5.0000000000000044E-2</v>
      </c>
      <c r="O121" s="107">
        <f t="shared" si="96"/>
        <v>2.0000000000000018E-3</v>
      </c>
      <c r="P121" s="107">
        <f t="shared" si="96"/>
        <v>-8.4999999999999964E-2</v>
      </c>
      <c r="Q121" s="107">
        <f t="shared" si="96"/>
        <v>-5.9999999999999942E-2</v>
      </c>
      <c r="R121" s="107">
        <f t="shared" si="96"/>
        <v>-4.8000000000000043E-2</v>
      </c>
      <c r="S121" s="107">
        <f t="shared" si="96"/>
        <v>-9.000000000000008E-2</v>
      </c>
      <c r="T121" s="107">
        <f t="shared" si="96"/>
        <v>-0.129</v>
      </c>
      <c r="U121" s="107">
        <f t="shared" si="96"/>
        <v>-0.14300000000000002</v>
      </c>
      <c r="V121" s="107">
        <f t="shared" si="96"/>
        <v>-0.18299999999999994</v>
      </c>
      <c r="W121" s="107">
        <f t="shared" ref="W121:X121" si="101">W101-W106</f>
        <v>-0.1429999999999999</v>
      </c>
      <c r="X121" s="107">
        <f t="shared" si="101"/>
        <v>-0.26200000000000001</v>
      </c>
      <c r="Y121" s="107">
        <f t="shared" ref="Y121:Z121" si="102">Y101-Y106</f>
        <v>-0.19199999999999995</v>
      </c>
      <c r="Z121" s="107">
        <f t="shared" si="102"/>
        <v>-0.19399999999999995</v>
      </c>
      <c r="AA121" s="14"/>
    </row>
    <row r="122" spans="2:27">
      <c r="B122" s="13"/>
      <c r="C122" s="110" t="s">
        <v>95</v>
      </c>
      <c r="D122" s="110" t="s">
        <v>53</v>
      </c>
      <c r="E122" s="110" t="s">
        <v>86</v>
      </c>
      <c r="F122" s="111" t="s">
        <v>34</v>
      </c>
      <c r="G122" s="112">
        <f t="shared" si="96"/>
        <v>1.9130000000000003</v>
      </c>
      <c r="H122" s="112">
        <f t="shared" si="96"/>
        <v>2.0209999999999999</v>
      </c>
      <c r="I122" s="112">
        <f t="shared" si="96"/>
        <v>1.9280000000000002</v>
      </c>
      <c r="J122" s="112">
        <f t="shared" si="96"/>
        <v>1.9929999999999999</v>
      </c>
      <c r="K122" s="112">
        <f t="shared" si="96"/>
        <v>2.1320000000000001</v>
      </c>
      <c r="L122" s="112">
        <f t="shared" si="96"/>
        <v>2.2080000000000002</v>
      </c>
      <c r="M122" s="112">
        <f t="shared" si="96"/>
        <v>2.3060000000000005</v>
      </c>
      <c r="N122" s="112">
        <f t="shared" si="96"/>
        <v>2.1930000000000001</v>
      </c>
      <c r="O122" s="112">
        <f t="shared" si="96"/>
        <v>2.2510000000000003</v>
      </c>
      <c r="P122" s="112">
        <f t="shared" si="96"/>
        <v>2.0009999999999999</v>
      </c>
      <c r="Q122" s="112">
        <f t="shared" si="96"/>
        <v>1.952</v>
      </c>
      <c r="R122" s="112">
        <f t="shared" si="96"/>
        <v>1.8340000000000001</v>
      </c>
      <c r="S122" s="112">
        <f t="shared" si="96"/>
        <v>1.7459999999999998</v>
      </c>
      <c r="T122" s="112">
        <f t="shared" si="96"/>
        <v>1.758</v>
      </c>
      <c r="U122" s="112">
        <f t="shared" si="96"/>
        <v>1.663</v>
      </c>
      <c r="V122" s="112">
        <f t="shared" si="96"/>
        <v>1.746</v>
      </c>
      <c r="W122" s="112">
        <f t="shared" ref="W122:X122" si="103">W102-W107</f>
        <v>1.6879999999999999</v>
      </c>
      <c r="X122" s="112">
        <f t="shared" si="103"/>
        <v>1.8470000000000002</v>
      </c>
      <c r="Y122" s="112">
        <f t="shared" ref="Y122:Z122" si="104">Y102-Y107</f>
        <v>1.9079999999999999</v>
      </c>
      <c r="Z122" s="112">
        <f t="shared" si="104"/>
        <v>1.9960000000000002</v>
      </c>
      <c r="AA122" s="14"/>
    </row>
    <row r="123" spans="2:27" ht="12">
      <c r="B123" s="13"/>
      <c r="C123" s="51" t="s">
        <v>99</v>
      </c>
      <c r="D123" s="51"/>
      <c r="E123" s="51"/>
      <c r="F123" s="15"/>
      <c r="G123" s="15"/>
      <c r="H123" s="15"/>
      <c r="I123" s="15"/>
      <c r="J123" s="15"/>
      <c r="K123" s="15"/>
      <c r="L123" s="15"/>
      <c r="M123" s="15"/>
      <c r="N123" s="15"/>
      <c r="O123" s="15"/>
      <c r="P123" s="15"/>
      <c r="Q123" s="15"/>
      <c r="R123" s="15"/>
      <c r="S123" s="15"/>
      <c r="T123" s="15"/>
      <c r="U123" s="15"/>
      <c r="V123" s="15"/>
      <c r="W123" s="15"/>
      <c r="X123" s="15"/>
      <c r="Y123" s="15"/>
      <c r="Z123" s="15"/>
      <c r="AA123" s="14"/>
    </row>
    <row r="124" spans="2:27" ht="12" thickBot="1">
      <c r="B124" s="16"/>
      <c r="C124" s="17"/>
      <c r="D124" s="17"/>
      <c r="E124" s="17"/>
      <c r="F124" s="113"/>
      <c r="G124" s="113"/>
      <c r="H124" s="113"/>
      <c r="I124" s="113"/>
      <c r="J124" s="113"/>
      <c r="K124" s="113"/>
      <c r="L124" s="113"/>
      <c r="M124" s="113"/>
      <c r="N124" s="113"/>
      <c r="O124" s="113"/>
      <c r="P124" s="113"/>
      <c r="Q124" s="113"/>
      <c r="R124" s="17"/>
      <c r="S124" s="17"/>
      <c r="T124" s="17"/>
      <c r="U124" s="17"/>
      <c r="V124" s="17"/>
      <c r="W124" s="17"/>
      <c r="X124" s="17"/>
      <c r="Y124" s="17"/>
      <c r="Z124" s="17"/>
      <c r="AA124" s="18"/>
    </row>
    <row r="125" spans="2:27">
      <c r="C125" s="1"/>
      <c r="D125" s="1"/>
      <c r="E125" s="1"/>
      <c r="F125" s="114"/>
      <c r="G125" s="114"/>
      <c r="H125" s="114"/>
      <c r="I125" s="114"/>
      <c r="J125" s="114"/>
      <c r="K125" s="114"/>
      <c r="L125" s="114"/>
      <c r="M125" s="114"/>
      <c r="N125" s="114"/>
      <c r="O125" s="114"/>
      <c r="P125" s="114"/>
      <c r="Q125" s="115"/>
    </row>
    <row r="126" spans="2:27">
      <c r="G126" s="160"/>
      <c r="H126" s="160"/>
      <c r="I126" s="160"/>
      <c r="J126" s="160"/>
      <c r="K126" s="160"/>
      <c r="L126" s="160"/>
      <c r="M126" s="160"/>
      <c r="N126" s="160"/>
      <c r="O126" s="160"/>
      <c r="P126" s="160"/>
      <c r="Q126" s="160"/>
      <c r="R126" s="160"/>
      <c r="S126" s="160"/>
      <c r="T126" s="160"/>
      <c r="U126" s="160"/>
      <c r="V126" s="160"/>
      <c r="W126" s="160"/>
      <c r="X126" s="160"/>
      <c r="Y126" s="160"/>
      <c r="Z126" s="160"/>
    </row>
    <row r="127" spans="2:27">
      <c r="G127" s="160"/>
      <c r="H127" s="160"/>
      <c r="I127" s="160"/>
      <c r="J127" s="160"/>
      <c r="K127" s="160"/>
      <c r="L127" s="160"/>
      <c r="M127" s="160"/>
      <c r="N127" s="160"/>
      <c r="O127" s="160"/>
      <c r="P127" s="160"/>
      <c r="Q127" s="160"/>
      <c r="R127" s="160"/>
      <c r="S127" s="160"/>
      <c r="T127" s="160"/>
      <c r="U127" s="160"/>
      <c r="V127" s="160"/>
      <c r="W127" s="160"/>
      <c r="X127" s="160"/>
      <c r="Y127" s="160"/>
      <c r="Z127" s="160"/>
    </row>
    <row r="128" spans="2:27">
      <c r="G128" s="160"/>
      <c r="H128" s="160"/>
      <c r="I128" s="160"/>
      <c r="J128" s="160"/>
      <c r="K128" s="160"/>
      <c r="L128" s="160"/>
      <c r="M128" s="160"/>
      <c r="N128" s="160"/>
      <c r="O128" s="160"/>
      <c r="P128" s="160"/>
      <c r="Q128" s="160"/>
      <c r="R128" s="160"/>
      <c r="S128" s="160"/>
      <c r="T128" s="160"/>
      <c r="U128" s="160"/>
      <c r="V128" s="160"/>
      <c r="W128" s="160"/>
      <c r="X128" s="160"/>
      <c r="Y128" s="160"/>
      <c r="Z128" s="160"/>
    </row>
    <row r="129" spans="6:26">
      <c r="G129" s="160"/>
      <c r="H129" s="160"/>
      <c r="I129" s="160"/>
      <c r="J129" s="160"/>
      <c r="K129" s="160"/>
      <c r="L129" s="160"/>
      <c r="M129" s="160"/>
      <c r="N129" s="160"/>
      <c r="O129" s="160"/>
      <c r="P129" s="160"/>
      <c r="Q129" s="160"/>
      <c r="R129" s="160"/>
      <c r="S129" s="160"/>
      <c r="T129" s="160"/>
      <c r="U129" s="160"/>
      <c r="V129" s="160"/>
      <c r="W129" s="160"/>
      <c r="X129" s="160"/>
      <c r="Y129" s="160"/>
      <c r="Z129" s="160"/>
    </row>
    <row r="130" spans="6:26">
      <c r="F130" s="161"/>
      <c r="G130" s="160"/>
      <c r="H130" s="160"/>
      <c r="I130" s="160"/>
      <c r="J130" s="160"/>
      <c r="K130" s="160"/>
      <c r="L130" s="160"/>
      <c r="M130" s="160"/>
      <c r="N130" s="160"/>
      <c r="O130" s="160"/>
      <c r="P130" s="160"/>
      <c r="Q130" s="160"/>
      <c r="R130" s="160"/>
      <c r="S130" s="160"/>
      <c r="T130" s="160"/>
      <c r="U130" s="160"/>
      <c r="V130" s="160"/>
      <c r="W130" s="160"/>
      <c r="X130" s="160"/>
      <c r="Y130" s="160"/>
      <c r="Z130" s="160"/>
    </row>
    <row r="131" spans="6:26">
      <c r="G131" s="160"/>
      <c r="H131" s="160"/>
      <c r="I131" s="160"/>
      <c r="J131" s="160"/>
      <c r="K131" s="160"/>
      <c r="L131" s="160"/>
      <c r="M131" s="160"/>
      <c r="N131" s="160"/>
      <c r="O131" s="160"/>
      <c r="P131" s="160"/>
      <c r="Q131" s="160"/>
      <c r="R131" s="160"/>
      <c r="S131" s="160"/>
      <c r="T131" s="160"/>
      <c r="U131" s="160"/>
      <c r="V131" s="160"/>
      <c r="W131" s="160"/>
      <c r="X131" s="160"/>
      <c r="Y131" s="160"/>
      <c r="Z131" s="160"/>
    </row>
    <row r="132" spans="6:26">
      <c r="G132" s="160"/>
      <c r="H132" s="160"/>
      <c r="I132" s="160"/>
      <c r="J132" s="160"/>
      <c r="K132" s="160"/>
      <c r="L132" s="160"/>
      <c r="M132" s="160"/>
      <c r="N132" s="160"/>
      <c r="O132" s="160"/>
      <c r="P132" s="160"/>
      <c r="Q132" s="160"/>
      <c r="R132" s="160"/>
      <c r="S132" s="160"/>
      <c r="T132" s="160"/>
      <c r="U132" s="160"/>
      <c r="V132" s="160"/>
      <c r="W132" s="160"/>
      <c r="X132" s="160"/>
      <c r="Y132" s="160"/>
      <c r="Z132" s="160"/>
    </row>
    <row r="133" spans="6:26">
      <c r="G133" s="160"/>
      <c r="H133" s="160"/>
      <c r="I133" s="160"/>
      <c r="J133" s="160"/>
      <c r="K133" s="160"/>
      <c r="L133" s="160"/>
      <c r="M133" s="160"/>
      <c r="N133" s="160"/>
      <c r="O133" s="160"/>
      <c r="P133" s="160"/>
      <c r="Q133" s="160"/>
      <c r="R133" s="160"/>
      <c r="S133" s="160"/>
      <c r="T133" s="160"/>
      <c r="U133" s="160"/>
      <c r="V133" s="160"/>
      <c r="W133" s="160"/>
      <c r="X133" s="160"/>
      <c r="Y133" s="160"/>
      <c r="Z133" s="160"/>
    </row>
    <row r="134" spans="6:26">
      <c r="G134" s="160"/>
      <c r="H134" s="160"/>
      <c r="I134" s="160"/>
      <c r="J134" s="160"/>
      <c r="K134" s="160"/>
      <c r="L134" s="160"/>
      <c r="M134" s="160"/>
      <c r="N134" s="160"/>
      <c r="O134" s="160"/>
      <c r="P134" s="160"/>
      <c r="Q134" s="160"/>
      <c r="R134" s="160"/>
      <c r="S134" s="160"/>
      <c r="T134" s="160"/>
      <c r="U134" s="160"/>
      <c r="V134" s="160"/>
      <c r="W134" s="160"/>
      <c r="X134" s="160"/>
      <c r="Y134" s="160"/>
      <c r="Z134" s="160"/>
    </row>
    <row r="135" spans="6:26">
      <c r="G135" s="160"/>
      <c r="H135" s="160"/>
      <c r="I135" s="160"/>
      <c r="J135" s="160"/>
      <c r="K135" s="160"/>
      <c r="L135" s="160"/>
      <c r="M135" s="160"/>
      <c r="N135" s="160"/>
      <c r="O135" s="160"/>
      <c r="P135" s="160"/>
      <c r="Q135" s="160"/>
      <c r="R135" s="160"/>
      <c r="S135" s="160"/>
      <c r="T135" s="160"/>
      <c r="U135" s="160"/>
      <c r="V135" s="160"/>
      <c r="W135" s="160"/>
      <c r="X135" s="160"/>
      <c r="Y135" s="160"/>
      <c r="Z135" s="160"/>
    </row>
    <row r="136" spans="6:26">
      <c r="G136" s="160"/>
      <c r="H136" s="160"/>
      <c r="I136" s="160"/>
      <c r="J136" s="160"/>
      <c r="K136" s="160"/>
      <c r="L136" s="160"/>
      <c r="M136" s="160"/>
      <c r="N136" s="160"/>
      <c r="O136" s="160"/>
      <c r="P136" s="160"/>
      <c r="Q136" s="160"/>
      <c r="R136" s="160"/>
      <c r="S136" s="160"/>
      <c r="T136" s="160"/>
      <c r="U136" s="160"/>
      <c r="V136" s="160"/>
      <c r="W136" s="160"/>
      <c r="X136" s="160"/>
      <c r="Y136" s="160"/>
      <c r="Z136" s="160"/>
    </row>
    <row r="137" spans="6:26">
      <c r="G137" s="160"/>
      <c r="H137" s="160"/>
      <c r="I137" s="160"/>
      <c r="J137" s="160"/>
      <c r="K137" s="160"/>
      <c r="L137" s="160"/>
      <c r="M137" s="160"/>
      <c r="N137" s="160"/>
      <c r="O137" s="160"/>
      <c r="P137" s="160"/>
      <c r="Q137" s="160"/>
      <c r="R137" s="160"/>
      <c r="S137" s="160"/>
      <c r="T137" s="160"/>
      <c r="U137" s="160"/>
      <c r="V137" s="160"/>
      <c r="W137" s="160"/>
      <c r="X137" s="160"/>
      <c r="Y137" s="160"/>
      <c r="Z137" s="160"/>
    </row>
    <row r="138" spans="6:26">
      <c r="G138" s="160"/>
      <c r="H138" s="160"/>
      <c r="I138" s="160"/>
      <c r="J138" s="160"/>
      <c r="K138" s="160"/>
      <c r="L138" s="160"/>
      <c r="M138" s="160"/>
      <c r="N138" s="160"/>
      <c r="O138" s="160"/>
      <c r="P138" s="160"/>
      <c r="Q138" s="160"/>
      <c r="R138" s="160"/>
      <c r="S138" s="160"/>
      <c r="T138" s="160"/>
      <c r="U138" s="160"/>
      <c r="V138" s="160"/>
      <c r="W138" s="160"/>
      <c r="X138" s="160"/>
      <c r="Y138" s="160"/>
      <c r="Z138" s="160"/>
    </row>
    <row r="139" spans="6:26">
      <c r="G139" s="160"/>
      <c r="H139" s="160"/>
      <c r="I139" s="160"/>
      <c r="J139" s="160"/>
      <c r="K139" s="160"/>
      <c r="L139" s="160"/>
      <c r="M139" s="160"/>
      <c r="N139" s="160"/>
      <c r="O139" s="160"/>
      <c r="P139" s="160"/>
      <c r="Q139" s="160"/>
      <c r="R139" s="160"/>
      <c r="S139" s="160"/>
      <c r="T139" s="160"/>
      <c r="U139" s="160"/>
      <c r="V139" s="160"/>
      <c r="W139" s="160"/>
      <c r="X139" s="160"/>
      <c r="Y139" s="160"/>
      <c r="Z139" s="160"/>
    </row>
    <row r="140" spans="6:26">
      <c r="G140" s="160"/>
      <c r="H140" s="160"/>
      <c r="I140" s="160"/>
      <c r="J140" s="160"/>
      <c r="K140" s="160"/>
      <c r="L140" s="160"/>
      <c r="M140" s="160"/>
      <c r="N140" s="160"/>
      <c r="O140" s="160"/>
      <c r="P140" s="160"/>
      <c r="Q140" s="160"/>
      <c r="R140" s="160"/>
      <c r="S140" s="160"/>
      <c r="T140" s="160"/>
      <c r="U140" s="160"/>
      <c r="V140" s="160"/>
      <c r="W140" s="160"/>
      <c r="X140" s="160"/>
      <c r="Y140" s="160"/>
      <c r="Z140" s="160"/>
    </row>
    <row r="141" spans="6:26">
      <c r="G141" s="160"/>
      <c r="H141" s="160"/>
      <c r="I141" s="160"/>
      <c r="J141" s="160"/>
      <c r="K141" s="160"/>
      <c r="L141" s="160"/>
      <c r="M141" s="160"/>
      <c r="N141" s="160"/>
      <c r="O141" s="160"/>
      <c r="P141" s="160"/>
      <c r="Q141" s="160"/>
      <c r="R141" s="160"/>
      <c r="S141" s="160"/>
      <c r="T141" s="160"/>
      <c r="U141" s="160"/>
      <c r="V141" s="160"/>
      <c r="W141" s="160"/>
      <c r="X141" s="160"/>
      <c r="Y141" s="160"/>
      <c r="Z141" s="160"/>
    </row>
    <row r="142" spans="6:26">
      <c r="G142" s="160"/>
      <c r="H142" s="160"/>
      <c r="I142" s="160"/>
      <c r="J142" s="160"/>
      <c r="K142" s="160"/>
      <c r="L142" s="160"/>
      <c r="M142" s="160"/>
      <c r="N142" s="160"/>
      <c r="O142" s="160"/>
      <c r="P142" s="160"/>
      <c r="Q142" s="160"/>
      <c r="R142" s="160"/>
      <c r="S142" s="160"/>
      <c r="T142" s="160"/>
      <c r="U142" s="160"/>
      <c r="V142" s="160"/>
      <c r="W142" s="160"/>
      <c r="X142" s="160"/>
      <c r="Y142" s="160"/>
      <c r="Z142" s="160"/>
    </row>
    <row r="143" spans="6:26">
      <c r="G143" s="160"/>
      <c r="H143" s="160"/>
      <c r="I143" s="160"/>
      <c r="J143" s="160"/>
      <c r="K143" s="160"/>
      <c r="L143" s="160"/>
      <c r="M143" s="160"/>
      <c r="N143" s="160"/>
      <c r="O143" s="160"/>
      <c r="P143" s="160"/>
      <c r="Q143" s="160"/>
      <c r="R143" s="160"/>
      <c r="S143" s="160"/>
      <c r="T143" s="160"/>
      <c r="U143" s="160"/>
      <c r="V143" s="160"/>
      <c r="W143" s="160"/>
      <c r="X143" s="160"/>
      <c r="Y143" s="160"/>
      <c r="Z143" s="160"/>
    </row>
    <row r="144" spans="6:26">
      <c r="G144" s="160"/>
      <c r="H144" s="160"/>
      <c r="I144" s="160"/>
      <c r="J144" s="160"/>
      <c r="K144" s="160"/>
      <c r="L144" s="160"/>
      <c r="M144" s="160"/>
      <c r="N144" s="160"/>
      <c r="O144" s="160"/>
      <c r="P144" s="160"/>
      <c r="Q144" s="160"/>
      <c r="R144" s="160"/>
      <c r="S144" s="160"/>
      <c r="T144" s="160"/>
      <c r="U144" s="160"/>
      <c r="V144" s="160"/>
      <c r="W144" s="160"/>
      <c r="X144" s="160"/>
      <c r="Y144" s="160"/>
      <c r="Z144" s="160"/>
    </row>
    <row r="145" spans="7:26">
      <c r="G145" s="160"/>
      <c r="H145" s="160"/>
      <c r="I145" s="160"/>
      <c r="J145" s="160"/>
      <c r="K145" s="160"/>
      <c r="L145" s="160"/>
      <c r="M145" s="160"/>
      <c r="N145" s="160"/>
      <c r="O145" s="160"/>
      <c r="P145" s="160"/>
      <c r="Q145" s="160"/>
      <c r="R145" s="160"/>
      <c r="S145" s="160"/>
      <c r="T145" s="160"/>
      <c r="U145" s="160"/>
      <c r="V145" s="160"/>
      <c r="W145" s="160"/>
      <c r="X145" s="160"/>
      <c r="Y145" s="160"/>
      <c r="Z145" s="160"/>
    </row>
    <row r="146" spans="7:26">
      <c r="G146" s="160"/>
      <c r="H146" s="160"/>
      <c r="I146" s="160"/>
      <c r="J146" s="160"/>
      <c r="K146" s="160"/>
      <c r="L146" s="160"/>
      <c r="M146" s="160"/>
      <c r="N146" s="160"/>
      <c r="O146" s="160"/>
      <c r="P146" s="160"/>
      <c r="Q146" s="160"/>
      <c r="R146" s="160"/>
      <c r="S146" s="160"/>
      <c r="T146" s="160"/>
      <c r="U146" s="160"/>
      <c r="V146" s="160"/>
      <c r="W146" s="160"/>
      <c r="X146" s="160"/>
      <c r="Y146" s="160"/>
      <c r="Z146" s="160"/>
    </row>
    <row r="147" spans="7:26">
      <c r="G147" s="160"/>
      <c r="H147" s="160"/>
      <c r="I147" s="160"/>
      <c r="J147" s="160"/>
      <c r="K147" s="160"/>
      <c r="L147" s="160"/>
      <c r="M147" s="160"/>
      <c r="N147" s="160"/>
      <c r="O147" s="160"/>
      <c r="P147" s="160"/>
      <c r="Q147" s="160"/>
      <c r="R147" s="160"/>
      <c r="S147" s="160"/>
      <c r="T147" s="160"/>
      <c r="U147" s="160"/>
      <c r="V147" s="160"/>
      <c r="W147" s="160"/>
      <c r="X147" s="160"/>
      <c r="Y147" s="160"/>
      <c r="Z147" s="160"/>
    </row>
    <row r="148" spans="7:26">
      <c r="G148" s="160"/>
      <c r="H148" s="160"/>
      <c r="I148" s="160"/>
      <c r="J148" s="160"/>
      <c r="K148" s="160"/>
      <c r="L148" s="160"/>
      <c r="M148" s="160"/>
      <c r="N148" s="160"/>
      <c r="O148" s="160"/>
      <c r="P148" s="160"/>
      <c r="Q148" s="160"/>
      <c r="R148" s="160"/>
      <c r="S148" s="160"/>
      <c r="T148" s="160"/>
      <c r="U148" s="160"/>
      <c r="V148" s="160"/>
      <c r="W148" s="160"/>
      <c r="X148" s="160"/>
      <c r="Y148" s="160"/>
      <c r="Z148" s="160"/>
    </row>
    <row r="149" spans="7:26">
      <c r="G149" s="160"/>
      <c r="H149" s="160"/>
      <c r="I149" s="160"/>
      <c r="J149" s="160"/>
      <c r="K149" s="160"/>
      <c r="L149" s="160"/>
      <c r="M149" s="160"/>
      <c r="N149" s="160"/>
      <c r="O149" s="160"/>
      <c r="P149" s="160"/>
      <c r="Q149" s="160"/>
      <c r="R149" s="160"/>
      <c r="S149" s="160"/>
      <c r="T149" s="160"/>
      <c r="U149" s="160"/>
      <c r="V149" s="160"/>
      <c r="W149" s="160"/>
      <c r="X149" s="160"/>
      <c r="Y149" s="160"/>
      <c r="Z149" s="160"/>
    </row>
    <row r="150" spans="7:26">
      <c r="G150" s="160"/>
      <c r="H150" s="160"/>
      <c r="I150" s="160"/>
      <c r="J150" s="160"/>
      <c r="K150" s="160"/>
      <c r="L150" s="160"/>
      <c r="M150" s="160"/>
      <c r="N150" s="160"/>
      <c r="O150" s="160"/>
      <c r="P150" s="160"/>
      <c r="Q150" s="160"/>
      <c r="R150" s="160"/>
      <c r="S150" s="160"/>
      <c r="T150" s="160"/>
      <c r="U150" s="160"/>
      <c r="V150" s="160"/>
      <c r="W150" s="160"/>
      <c r="X150" s="160"/>
      <c r="Y150" s="160"/>
      <c r="Z150" s="160"/>
    </row>
    <row r="151" spans="7:26">
      <c r="G151" s="160"/>
      <c r="H151" s="160"/>
      <c r="I151" s="160"/>
      <c r="J151" s="160"/>
      <c r="K151" s="160"/>
      <c r="L151" s="160"/>
      <c r="M151" s="160"/>
      <c r="N151" s="160"/>
      <c r="O151" s="160"/>
      <c r="P151" s="160"/>
      <c r="Q151" s="160"/>
      <c r="R151" s="160"/>
      <c r="S151" s="160"/>
      <c r="T151" s="160"/>
      <c r="U151" s="160"/>
      <c r="V151" s="160"/>
      <c r="W151" s="160"/>
      <c r="X151" s="160"/>
      <c r="Y151" s="160"/>
      <c r="Z151" s="160"/>
    </row>
    <row r="152" spans="7:26">
      <c r="G152" s="160"/>
      <c r="H152" s="160"/>
      <c r="I152" s="160"/>
      <c r="J152" s="160"/>
      <c r="K152" s="160"/>
      <c r="L152" s="160"/>
      <c r="M152" s="160"/>
      <c r="N152" s="160"/>
      <c r="O152" s="160"/>
      <c r="P152" s="160"/>
      <c r="Q152" s="160"/>
      <c r="R152" s="160"/>
      <c r="S152" s="160"/>
      <c r="T152" s="160"/>
      <c r="U152" s="160"/>
      <c r="V152" s="160"/>
      <c r="W152" s="160"/>
      <c r="X152" s="160"/>
      <c r="Y152" s="160"/>
      <c r="Z152" s="160"/>
    </row>
    <row r="153" spans="7:26">
      <c r="G153" s="160"/>
      <c r="H153" s="160"/>
      <c r="I153" s="160"/>
      <c r="J153" s="160"/>
      <c r="K153" s="160"/>
      <c r="L153" s="160"/>
      <c r="M153" s="160"/>
      <c r="N153" s="160"/>
      <c r="O153" s="160"/>
      <c r="P153" s="160"/>
      <c r="Q153" s="160"/>
      <c r="R153" s="160"/>
      <c r="S153" s="160"/>
      <c r="T153" s="160"/>
      <c r="U153" s="160"/>
      <c r="V153" s="160"/>
      <c r="W153" s="160"/>
      <c r="X153" s="160"/>
      <c r="Y153" s="160"/>
      <c r="Z153" s="160"/>
    </row>
    <row r="154" spans="7:26">
      <c r="G154" s="160"/>
      <c r="H154" s="160"/>
      <c r="I154" s="160"/>
      <c r="J154" s="160"/>
      <c r="K154" s="160"/>
      <c r="L154" s="160"/>
      <c r="M154" s="160"/>
      <c r="N154" s="160"/>
      <c r="O154" s="160"/>
      <c r="P154" s="160"/>
      <c r="Q154" s="160"/>
      <c r="R154" s="160"/>
      <c r="S154" s="160"/>
      <c r="T154" s="160"/>
      <c r="U154" s="160"/>
      <c r="V154" s="160"/>
      <c r="W154" s="160"/>
      <c r="X154" s="160"/>
      <c r="Y154" s="160"/>
      <c r="Z154" s="160"/>
    </row>
    <row r="155" spans="7:26">
      <c r="G155" s="160"/>
      <c r="H155" s="160"/>
      <c r="I155" s="160"/>
      <c r="J155" s="160"/>
      <c r="K155" s="160"/>
      <c r="L155" s="160"/>
      <c r="M155" s="160"/>
      <c r="N155" s="160"/>
      <c r="O155" s="160"/>
      <c r="P155" s="160"/>
      <c r="Q155" s="160"/>
      <c r="R155" s="160"/>
      <c r="S155" s="160"/>
      <c r="T155" s="160"/>
      <c r="U155" s="160"/>
      <c r="V155" s="160"/>
      <c r="W155" s="160"/>
      <c r="X155" s="160"/>
      <c r="Y155" s="160"/>
      <c r="Z155" s="160"/>
    </row>
    <row r="156" spans="7:26">
      <c r="G156" s="16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385"/>
  <sheetViews>
    <sheetView showGridLines="0" workbookViewId="0"/>
  </sheetViews>
  <sheetFormatPr defaultRowHeight="14.5"/>
  <cols>
    <col min="1" max="2" width="4.7265625" customWidth="1"/>
    <col min="3" max="3" width="10" style="1" customWidth="1"/>
    <col min="4" max="6" width="9.1796875" style="1"/>
    <col min="7" max="7" width="9.1796875" style="1" customWidth="1"/>
    <col min="8" max="8" width="44.81640625" style="1" customWidth="1"/>
    <col min="9" max="10" width="9.1796875" style="1"/>
    <col min="11" max="11" width="11.1796875" style="1" customWidth="1"/>
    <col min="12" max="12" width="29.54296875" style="1" customWidth="1"/>
    <col min="13" max="15" width="9.1796875" style="1"/>
    <col min="16" max="16" width="42" style="1" customWidth="1"/>
    <col min="17" max="264" width="9.1796875" style="1"/>
    <col min="265" max="265" width="12.453125" style="1" bestFit="1" customWidth="1"/>
    <col min="266" max="266" width="13.1796875" style="1" customWidth="1"/>
    <col min="267" max="520" width="9.1796875" style="1"/>
    <col min="521" max="521" width="12.453125" style="1" bestFit="1" customWidth="1"/>
    <col min="522" max="522" width="13.1796875" style="1" customWidth="1"/>
    <col min="523" max="776" width="9.1796875" style="1"/>
    <col min="777" max="777" width="12.453125" style="1" bestFit="1" customWidth="1"/>
    <col min="778" max="778" width="13.1796875" style="1" customWidth="1"/>
    <col min="779" max="1032" width="9.1796875" style="1"/>
    <col min="1033" max="1033" width="12.453125" style="1" bestFit="1" customWidth="1"/>
    <col min="1034" max="1034" width="13.1796875" style="1" customWidth="1"/>
    <col min="1035" max="1288" width="9.1796875" style="1"/>
    <col min="1289" max="1289" width="12.453125" style="1" bestFit="1" customWidth="1"/>
    <col min="1290" max="1290" width="13.1796875" style="1" customWidth="1"/>
    <col min="1291" max="1544" width="9.1796875" style="1"/>
    <col min="1545" max="1545" width="12.453125" style="1" bestFit="1" customWidth="1"/>
    <col min="1546" max="1546" width="13.1796875" style="1" customWidth="1"/>
    <col min="1547" max="1800" width="9.1796875" style="1"/>
    <col min="1801" max="1801" width="12.453125" style="1" bestFit="1" customWidth="1"/>
    <col min="1802" max="1802" width="13.1796875" style="1" customWidth="1"/>
    <col min="1803" max="2056" width="9.1796875" style="1"/>
    <col min="2057" max="2057" width="12.453125" style="1" bestFit="1" customWidth="1"/>
    <col min="2058" max="2058" width="13.1796875" style="1" customWidth="1"/>
    <col min="2059" max="2312" width="9.1796875" style="1"/>
    <col min="2313" max="2313" width="12.453125" style="1" bestFit="1" customWidth="1"/>
    <col min="2314" max="2314" width="13.1796875" style="1" customWidth="1"/>
    <col min="2315" max="2568" width="9.1796875" style="1"/>
    <col min="2569" max="2569" width="12.453125" style="1" bestFit="1" customWidth="1"/>
    <col min="2570" max="2570" width="13.1796875" style="1" customWidth="1"/>
    <col min="2571" max="2824" width="9.1796875" style="1"/>
    <col min="2825" max="2825" width="12.453125" style="1" bestFit="1" customWidth="1"/>
    <col min="2826" max="2826" width="13.1796875" style="1" customWidth="1"/>
    <col min="2827" max="3080" width="9.1796875" style="1"/>
    <col min="3081" max="3081" width="12.453125" style="1" bestFit="1" customWidth="1"/>
    <col min="3082" max="3082" width="13.1796875" style="1" customWidth="1"/>
    <col min="3083" max="3336" width="9.1796875" style="1"/>
    <col min="3337" max="3337" width="12.453125" style="1" bestFit="1" customWidth="1"/>
    <col min="3338" max="3338" width="13.1796875" style="1" customWidth="1"/>
    <col min="3339" max="3592" width="9.1796875" style="1"/>
    <col min="3593" max="3593" width="12.453125" style="1" bestFit="1" customWidth="1"/>
    <col min="3594" max="3594" width="13.1796875" style="1" customWidth="1"/>
    <col min="3595" max="3848" width="9.1796875" style="1"/>
    <col min="3849" max="3849" width="12.453125" style="1" bestFit="1" customWidth="1"/>
    <col min="3850" max="3850" width="13.1796875" style="1" customWidth="1"/>
    <col min="3851" max="4104" width="9.1796875" style="1"/>
    <col min="4105" max="4105" width="12.453125" style="1" bestFit="1" customWidth="1"/>
    <col min="4106" max="4106" width="13.1796875" style="1" customWidth="1"/>
    <col min="4107" max="4360" width="9.1796875" style="1"/>
    <col min="4361" max="4361" width="12.453125" style="1" bestFit="1" customWidth="1"/>
    <col min="4362" max="4362" width="13.1796875" style="1" customWidth="1"/>
    <col min="4363" max="4616" width="9.1796875" style="1"/>
    <col min="4617" max="4617" width="12.453125" style="1" bestFit="1" customWidth="1"/>
    <col min="4618" max="4618" width="13.1796875" style="1" customWidth="1"/>
    <col min="4619" max="4872" width="9.1796875" style="1"/>
    <col min="4873" max="4873" width="12.453125" style="1" bestFit="1" customWidth="1"/>
    <col min="4874" max="4874" width="13.1796875" style="1" customWidth="1"/>
    <col min="4875" max="5128" width="9.1796875" style="1"/>
    <col min="5129" max="5129" width="12.453125" style="1" bestFit="1" customWidth="1"/>
    <col min="5130" max="5130" width="13.1796875" style="1" customWidth="1"/>
    <col min="5131" max="5384" width="9.1796875" style="1"/>
    <col min="5385" max="5385" width="12.453125" style="1" bestFit="1" customWidth="1"/>
    <col min="5386" max="5386" width="13.1796875" style="1" customWidth="1"/>
    <col min="5387" max="5640" width="9.1796875" style="1"/>
    <col min="5641" max="5641" width="12.453125" style="1" bestFit="1" customWidth="1"/>
    <col min="5642" max="5642" width="13.1796875" style="1" customWidth="1"/>
    <col min="5643" max="5896" width="9.1796875" style="1"/>
    <col min="5897" max="5897" width="12.453125" style="1" bestFit="1" customWidth="1"/>
    <col min="5898" max="5898" width="13.1796875" style="1" customWidth="1"/>
    <col min="5899" max="6152" width="9.1796875" style="1"/>
    <col min="6153" max="6153" width="12.453125" style="1" bestFit="1" customWidth="1"/>
    <col min="6154" max="6154" width="13.1796875" style="1" customWidth="1"/>
    <col min="6155" max="6408" width="9.1796875" style="1"/>
    <col min="6409" max="6409" width="12.453125" style="1" bestFit="1" customWidth="1"/>
    <col min="6410" max="6410" width="13.1796875" style="1" customWidth="1"/>
    <col min="6411" max="6664" width="9.1796875" style="1"/>
    <col min="6665" max="6665" width="12.453125" style="1" bestFit="1" customWidth="1"/>
    <col min="6666" max="6666" width="13.1796875" style="1" customWidth="1"/>
    <col min="6667" max="6920" width="9.1796875" style="1"/>
    <col min="6921" max="6921" width="12.453125" style="1" bestFit="1" customWidth="1"/>
    <col min="6922" max="6922" width="13.1796875" style="1" customWidth="1"/>
    <col min="6923" max="7176" width="9.1796875" style="1"/>
    <col min="7177" max="7177" width="12.453125" style="1" bestFit="1" customWidth="1"/>
    <col min="7178" max="7178" width="13.1796875" style="1" customWidth="1"/>
    <col min="7179" max="7432" width="9.1796875" style="1"/>
    <col min="7433" max="7433" width="12.453125" style="1" bestFit="1" customWidth="1"/>
    <col min="7434" max="7434" width="13.1796875" style="1" customWidth="1"/>
    <col min="7435" max="7688" width="9.1796875" style="1"/>
    <col min="7689" max="7689" width="12.453125" style="1" bestFit="1" customWidth="1"/>
    <col min="7690" max="7690" width="13.1796875" style="1" customWidth="1"/>
    <col min="7691" max="7944" width="9.1796875" style="1"/>
    <col min="7945" max="7945" width="12.453125" style="1" bestFit="1" customWidth="1"/>
    <col min="7946" max="7946" width="13.1796875" style="1" customWidth="1"/>
    <col min="7947" max="8200" width="9.1796875" style="1"/>
    <col min="8201" max="8201" width="12.453125" style="1" bestFit="1" customWidth="1"/>
    <col min="8202" max="8202" width="13.1796875" style="1" customWidth="1"/>
    <col min="8203" max="8456" width="9.1796875" style="1"/>
    <col min="8457" max="8457" width="12.453125" style="1" bestFit="1" customWidth="1"/>
    <col min="8458" max="8458" width="13.1796875" style="1" customWidth="1"/>
    <col min="8459" max="8712" width="9.1796875" style="1"/>
    <col min="8713" max="8713" width="12.453125" style="1" bestFit="1" customWidth="1"/>
    <col min="8714" max="8714" width="13.1796875" style="1" customWidth="1"/>
    <col min="8715" max="8968" width="9.1796875" style="1"/>
    <col min="8969" max="8969" width="12.453125" style="1" bestFit="1" customWidth="1"/>
    <col min="8970" max="8970" width="13.1796875" style="1" customWidth="1"/>
    <col min="8971" max="9224" width="9.1796875" style="1"/>
    <col min="9225" max="9225" width="12.453125" style="1" bestFit="1" customWidth="1"/>
    <col min="9226" max="9226" width="13.1796875" style="1" customWidth="1"/>
    <col min="9227" max="9480" width="9.1796875" style="1"/>
    <col min="9481" max="9481" width="12.453125" style="1" bestFit="1" customWidth="1"/>
    <col min="9482" max="9482" width="13.1796875" style="1" customWidth="1"/>
    <col min="9483" max="9736" width="9.1796875" style="1"/>
    <col min="9737" max="9737" width="12.453125" style="1" bestFit="1" customWidth="1"/>
    <col min="9738" max="9738" width="13.1796875" style="1" customWidth="1"/>
    <col min="9739" max="9992" width="9.1796875" style="1"/>
    <col min="9993" max="9993" width="12.453125" style="1" bestFit="1" customWidth="1"/>
    <col min="9994" max="9994" width="13.1796875" style="1" customWidth="1"/>
    <col min="9995" max="10248" width="9.1796875" style="1"/>
    <col min="10249" max="10249" width="12.453125" style="1" bestFit="1" customWidth="1"/>
    <col min="10250" max="10250" width="13.1796875" style="1" customWidth="1"/>
    <col min="10251" max="10504" width="9.1796875" style="1"/>
    <col min="10505" max="10505" width="12.453125" style="1" bestFit="1" customWidth="1"/>
    <col min="10506" max="10506" width="13.1796875" style="1" customWidth="1"/>
    <col min="10507" max="10760" width="9.1796875" style="1"/>
    <col min="10761" max="10761" width="12.453125" style="1" bestFit="1" customWidth="1"/>
    <col min="10762" max="10762" width="13.1796875" style="1" customWidth="1"/>
    <col min="10763" max="11016" width="9.1796875" style="1"/>
    <col min="11017" max="11017" width="12.453125" style="1" bestFit="1" customWidth="1"/>
    <col min="11018" max="11018" width="13.1796875" style="1" customWidth="1"/>
    <col min="11019" max="11272" width="9.1796875" style="1"/>
    <col min="11273" max="11273" width="12.453125" style="1" bestFit="1" customWidth="1"/>
    <col min="11274" max="11274" width="13.1796875" style="1" customWidth="1"/>
    <col min="11275" max="11528" width="9.1796875" style="1"/>
    <col min="11529" max="11529" width="12.453125" style="1" bestFit="1" customWidth="1"/>
    <col min="11530" max="11530" width="13.1796875" style="1" customWidth="1"/>
    <col min="11531" max="11784" width="9.1796875" style="1"/>
    <col min="11785" max="11785" width="12.453125" style="1" bestFit="1" customWidth="1"/>
    <col min="11786" max="11786" width="13.1796875" style="1" customWidth="1"/>
    <col min="11787" max="12040" width="9.1796875" style="1"/>
    <col min="12041" max="12041" width="12.453125" style="1" bestFit="1" customWidth="1"/>
    <col min="12042" max="12042" width="13.1796875" style="1" customWidth="1"/>
    <col min="12043" max="12296" width="9.1796875" style="1"/>
    <col min="12297" max="12297" width="12.453125" style="1" bestFit="1" customWidth="1"/>
    <col min="12298" max="12298" width="13.1796875" style="1" customWidth="1"/>
    <col min="12299" max="12552" width="9.1796875" style="1"/>
    <col min="12553" max="12553" width="12.453125" style="1" bestFit="1" customWidth="1"/>
    <col min="12554" max="12554" width="13.1796875" style="1" customWidth="1"/>
    <col min="12555" max="12808" width="9.1796875" style="1"/>
    <col min="12809" max="12809" width="12.453125" style="1" bestFit="1" customWidth="1"/>
    <col min="12810" max="12810" width="13.1796875" style="1" customWidth="1"/>
    <col min="12811" max="13064" width="9.1796875" style="1"/>
    <col min="13065" max="13065" width="12.453125" style="1" bestFit="1" customWidth="1"/>
    <col min="13066" max="13066" width="13.1796875" style="1" customWidth="1"/>
    <col min="13067" max="13320" width="9.1796875" style="1"/>
    <col min="13321" max="13321" width="12.453125" style="1" bestFit="1" customWidth="1"/>
    <col min="13322" max="13322" width="13.1796875" style="1" customWidth="1"/>
    <col min="13323" max="13576" width="9.1796875" style="1"/>
    <col min="13577" max="13577" width="12.453125" style="1" bestFit="1" customWidth="1"/>
    <col min="13578" max="13578" width="13.1796875" style="1" customWidth="1"/>
    <col min="13579" max="13832" width="9.1796875" style="1"/>
    <col min="13833" max="13833" width="12.453125" style="1" bestFit="1" customWidth="1"/>
    <col min="13834" max="13834" width="13.1796875" style="1" customWidth="1"/>
    <col min="13835" max="14088" width="9.1796875" style="1"/>
    <col min="14089" max="14089" width="12.453125" style="1" bestFit="1" customWidth="1"/>
    <col min="14090" max="14090" width="13.1796875" style="1" customWidth="1"/>
    <col min="14091" max="14344" width="9.1796875" style="1"/>
    <col min="14345" max="14345" width="12.453125" style="1" bestFit="1" customWidth="1"/>
    <col min="14346" max="14346" width="13.1796875" style="1" customWidth="1"/>
    <col min="14347" max="14600" width="9.1796875" style="1"/>
    <col min="14601" max="14601" width="12.453125" style="1" bestFit="1" customWidth="1"/>
    <col min="14602" max="14602" width="13.1796875" style="1" customWidth="1"/>
    <col min="14603" max="14856" width="9.1796875" style="1"/>
    <col min="14857" max="14857" width="12.453125" style="1" bestFit="1" customWidth="1"/>
    <col min="14858" max="14858" width="13.1796875" style="1" customWidth="1"/>
    <col min="14859" max="15112" width="9.1796875" style="1"/>
    <col min="15113" max="15113" width="12.453125" style="1" bestFit="1" customWidth="1"/>
    <col min="15114" max="15114" width="13.1796875" style="1" customWidth="1"/>
    <col min="15115" max="15368" width="9.1796875" style="1"/>
    <col min="15369" max="15369" width="12.453125" style="1" bestFit="1" customWidth="1"/>
    <col min="15370" max="15370" width="13.1796875" style="1" customWidth="1"/>
    <col min="15371" max="15624" width="9.1796875" style="1"/>
    <col min="15625" max="15625" width="12.453125" style="1" bestFit="1" customWidth="1"/>
    <col min="15626" max="15626" width="13.1796875" style="1" customWidth="1"/>
    <col min="15627" max="15880" width="9.1796875" style="1"/>
    <col min="15881" max="15881" width="12.453125" style="1" bestFit="1" customWidth="1"/>
    <col min="15882" max="15882" width="13.1796875" style="1" customWidth="1"/>
    <col min="15883" max="16136" width="9.1796875" style="1"/>
    <col min="16137" max="16137" width="12.453125" style="1" bestFit="1" customWidth="1"/>
    <col min="16138" max="16138" width="13.1796875" style="1" customWidth="1"/>
    <col min="16139" max="16382" width="9.1796875" style="1"/>
    <col min="16383" max="16384" width="9.1796875" style="1" customWidth="1"/>
  </cols>
  <sheetData>
    <row r="1" spans="1:16" ht="15.5">
      <c r="A1" s="222" t="s">
        <v>258</v>
      </c>
    </row>
    <row r="2" spans="1:16" ht="15" thickBot="1"/>
    <row r="3" spans="1:16">
      <c r="B3" s="116" t="s">
        <v>51</v>
      </c>
      <c r="C3" s="170"/>
      <c r="D3" s="170"/>
      <c r="E3" s="19" t="s">
        <v>97</v>
      </c>
      <c r="F3" s="170"/>
      <c r="G3" s="170"/>
      <c r="H3" s="179" t="s">
        <v>335</v>
      </c>
      <c r="J3" s="116" t="s">
        <v>52</v>
      </c>
      <c r="K3" s="170"/>
      <c r="L3" s="170"/>
      <c r="M3" s="170"/>
      <c r="N3" s="170"/>
      <c r="O3" s="170"/>
      <c r="P3" s="171"/>
    </row>
    <row r="4" spans="1:16">
      <c r="B4" s="172"/>
      <c r="C4" s="173"/>
      <c r="D4" s="173"/>
      <c r="E4" s="173"/>
      <c r="F4" s="173"/>
      <c r="G4" s="173"/>
      <c r="H4" s="174"/>
      <c r="J4" s="175"/>
      <c r="K4" s="173" t="s">
        <v>306</v>
      </c>
      <c r="L4" s="173"/>
      <c r="M4" s="173"/>
      <c r="N4" s="173"/>
      <c r="O4" s="173"/>
      <c r="P4" s="174"/>
    </row>
    <row r="5" spans="1:16" ht="11.5">
      <c r="A5" s="1"/>
      <c r="B5" s="175"/>
      <c r="C5" s="11" t="s">
        <v>117</v>
      </c>
      <c r="D5" s="173"/>
      <c r="E5" s="173"/>
      <c r="F5" s="173"/>
      <c r="G5" s="173"/>
      <c r="H5" s="174"/>
      <c r="J5" s="175"/>
      <c r="K5" s="173"/>
      <c r="L5" s="173"/>
      <c r="M5" s="173"/>
      <c r="N5" s="173"/>
      <c r="O5" s="173"/>
      <c r="P5" s="174"/>
    </row>
    <row r="6" spans="1:16" ht="11.5">
      <c r="A6" s="1"/>
      <c r="B6" s="175"/>
      <c r="C6" s="173"/>
      <c r="D6" s="173"/>
      <c r="E6" s="173"/>
      <c r="F6" s="173"/>
      <c r="G6" s="173"/>
      <c r="H6" s="174"/>
      <c r="J6" s="175"/>
      <c r="K6" s="173"/>
      <c r="L6" s="173"/>
      <c r="M6" s="173"/>
      <c r="N6" s="173"/>
      <c r="O6" s="173"/>
      <c r="P6" s="174"/>
    </row>
    <row r="7" spans="1:16" ht="11.5">
      <c r="A7" s="1"/>
      <c r="B7" s="175"/>
      <c r="C7" s="11" t="s">
        <v>9</v>
      </c>
      <c r="D7" s="166">
        <v>44452.576886574076</v>
      </c>
      <c r="E7" s="173"/>
      <c r="F7" s="173"/>
      <c r="G7" s="173"/>
      <c r="H7" s="174"/>
      <c r="J7" s="175"/>
      <c r="K7" s="173"/>
      <c r="L7" s="173"/>
      <c r="M7" s="173"/>
      <c r="N7" s="173"/>
      <c r="O7" s="173"/>
      <c r="P7" s="174"/>
    </row>
    <row r="8" spans="1:16" ht="11.5">
      <c r="A8" s="1"/>
      <c r="B8" s="175"/>
      <c r="C8" s="11" t="s">
        <v>10</v>
      </c>
      <c r="D8" s="166">
        <v>44453.405843796296</v>
      </c>
      <c r="E8" s="173"/>
      <c r="F8" s="173"/>
      <c r="G8" s="173"/>
      <c r="H8" s="174"/>
      <c r="J8" s="175"/>
      <c r="K8" s="173"/>
      <c r="L8" s="173"/>
      <c r="M8" s="173"/>
      <c r="N8" s="173"/>
      <c r="O8" s="173"/>
      <c r="P8" s="174"/>
    </row>
    <row r="9" spans="1:16" ht="11.5">
      <c r="A9" s="1"/>
      <c r="B9" s="175"/>
      <c r="C9" s="11" t="s">
        <v>11</v>
      </c>
      <c r="D9" s="11" t="s">
        <v>12</v>
      </c>
      <c r="E9" s="173"/>
      <c r="F9" s="173"/>
      <c r="G9" s="173"/>
      <c r="H9" s="174"/>
      <c r="J9" s="175"/>
      <c r="K9" s="173"/>
      <c r="L9" s="173"/>
      <c r="M9" s="173"/>
      <c r="N9" s="173"/>
      <c r="O9" s="173"/>
      <c r="P9" s="174"/>
    </row>
    <row r="10" spans="1:16" ht="11.5">
      <c r="A10" s="1"/>
      <c r="B10" s="175"/>
      <c r="C10" s="173"/>
      <c r="D10" s="173"/>
      <c r="E10" s="173"/>
      <c r="F10" s="173"/>
      <c r="G10" s="173"/>
      <c r="H10" s="174"/>
      <c r="J10" s="175"/>
      <c r="K10" s="173"/>
      <c r="L10" s="173"/>
      <c r="M10" s="173"/>
      <c r="N10" s="173"/>
      <c r="O10" s="173"/>
      <c r="P10" s="174"/>
    </row>
    <row r="11" spans="1:16" ht="11.5">
      <c r="A11" s="1"/>
      <c r="B11" s="175"/>
      <c r="C11" s="11" t="s">
        <v>15</v>
      </c>
      <c r="D11" s="11" t="s">
        <v>303</v>
      </c>
      <c r="E11" s="173"/>
      <c r="F11" s="173"/>
      <c r="G11" s="173"/>
      <c r="H11" s="174"/>
      <c r="J11" s="175"/>
      <c r="K11" s="11" t="str">
        <f>C11</f>
        <v>GEO</v>
      </c>
      <c r="L11" s="11" t="str">
        <f>D11</f>
        <v>EU27_2020 - European Union - 27 countries (from 2020)</v>
      </c>
      <c r="M11" s="173"/>
      <c r="N11" s="173"/>
      <c r="O11" s="173"/>
      <c r="P11" s="174"/>
    </row>
    <row r="12" spans="1:16" ht="11.5">
      <c r="A12" s="1"/>
      <c r="B12" s="175"/>
      <c r="C12" s="11" t="s">
        <v>13</v>
      </c>
      <c r="D12" s="11" t="s">
        <v>114</v>
      </c>
      <c r="E12" s="173"/>
      <c r="F12" s="173"/>
      <c r="G12" s="173"/>
      <c r="H12" s="174"/>
      <c r="J12" s="175"/>
      <c r="K12" s="11" t="str">
        <f t="shared" ref="K12:K14" si="0">C12</f>
        <v>UNIT</v>
      </c>
      <c r="L12" s="11" t="str">
        <f t="shared" ref="L12:L14" si="1">D12</f>
        <v>Tonnes per capita</v>
      </c>
      <c r="M12" s="173"/>
      <c r="N12" s="173"/>
      <c r="O12" s="173"/>
      <c r="P12" s="174"/>
    </row>
    <row r="13" spans="1:16" ht="11.5">
      <c r="A13" s="1"/>
      <c r="B13" s="175"/>
      <c r="C13" s="11" t="s">
        <v>118</v>
      </c>
      <c r="D13" s="219">
        <f>Cover!C1</f>
        <v>2019</v>
      </c>
      <c r="E13" s="173"/>
      <c r="F13" s="173"/>
      <c r="G13" s="173"/>
      <c r="H13" s="174"/>
      <c r="J13" s="175"/>
      <c r="K13" s="11" t="str">
        <f t="shared" si="0"/>
        <v>TIME</v>
      </c>
      <c r="L13" s="219">
        <f t="shared" si="1"/>
        <v>2019</v>
      </c>
      <c r="M13" s="173"/>
      <c r="N13" s="173"/>
      <c r="O13" s="173"/>
      <c r="P13" s="174"/>
    </row>
    <row r="14" spans="1:16" ht="11.5">
      <c r="A14" s="1"/>
      <c r="B14" s="175"/>
      <c r="C14" s="11" t="s">
        <v>78</v>
      </c>
      <c r="D14" s="11" t="s">
        <v>119</v>
      </c>
      <c r="E14" s="173"/>
      <c r="F14" s="173"/>
      <c r="G14" s="173"/>
      <c r="H14" s="174"/>
      <c r="J14" s="175"/>
      <c r="K14" s="11" t="str">
        <f t="shared" si="0"/>
        <v>MATERIAL</v>
      </c>
      <c r="L14" s="11" t="str">
        <f t="shared" si="1"/>
        <v>TOTAL - Total</v>
      </c>
      <c r="M14" s="173"/>
      <c r="N14" s="173"/>
      <c r="O14" s="173"/>
      <c r="P14" s="174"/>
    </row>
    <row r="15" spans="1:16" ht="11.5">
      <c r="A15" s="1"/>
      <c r="B15" s="175"/>
      <c r="C15" s="173"/>
      <c r="D15" s="173"/>
      <c r="E15" s="173"/>
      <c r="F15" s="173"/>
      <c r="G15" s="173"/>
      <c r="H15" s="174"/>
      <c r="J15" s="175"/>
      <c r="K15" s="173"/>
      <c r="L15" s="173"/>
      <c r="M15" s="173"/>
      <c r="N15" s="173"/>
      <c r="O15" s="173"/>
      <c r="P15" s="174"/>
    </row>
    <row r="16" spans="1:16" ht="11.5">
      <c r="A16" s="1"/>
      <c r="B16" s="175"/>
      <c r="C16" s="84" t="s">
        <v>120</v>
      </c>
      <c r="D16" s="84" t="s">
        <v>115</v>
      </c>
      <c r="E16" s="84" t="s">
        <v>93</v>
      </c>
      <c r="F16" s="84" t="s">
        <v>121</v>
      </c>
      <c r="G16" s="84" t="s">
        <v>122</v>
      </c>
      <c r="H16" s="174"/>
      <c r="J16" s="175"/>
      <c r="K16" s="196" t="s">
        <v>120</v>
      </c>
      <c r="L16" s="198" t="str">
        <f t="shared" ref="L16:O17" si="2">D16</f>
        <v>INDIC_ENV</v>
      </c>
      <c r="M16" s="198" t="str">
        <f t="shared" si="2"/>
        <v>RMC</v>
      </c>
      <c r="N16" s="198" t="str">
        <f t="shared" si="2"/>
        <v>RMC_P3</v>
      </c>
      <c r="O16" s="198" t="str">
        <f t="shared" si="2"/>
        <v>RMC_P5</v>
      </c>
      <c r="P16" s="174"/>
    </row>
    <row r="17" spans="1:16" ht="11.5">
      <c r="A17" s="1"/>
      <c r="B17" s="175"/>
      <c r="C17" s="84" t="s">
        <v>123</v>
      </c>
      <c r="D17" s="84" t="s">
        <v>124</v>
      </c>
      <c r="E17" s="84" t="s">
        <v>297</v>
      </c>
      <c r="F17" s="84" t="s">
        <v>125</v>
      </c>
      <c r="G17" s="84" t="s">
        <v>299</v>
      </c>
      <c r="H17" s="174"/>
      <c r="J17" s="175"/>
      <c r="K17" s="197" t="str">
        <f>C17</f>
        <v>CPA08</v>
      </c>
      <c r="L17" s="199" t="str">
        <f t="shared" si="2"/>
        <v>CPA08(L)/INDIC_ENV(L)</v>
      </c>
      <c r="M17" s="199" t="str">
        <f t="shared" si="2"/>
        <v>Raw material consumption</v>
      </c>
      <c r="N17" s="199" t="str">
        <f t="shared" si="2"/>
        <v>Raw material consumption as result of final consumption expenditure</v>
      </c>
      <c r="O17" s="199" t="str">
        <f t="shared" si="2"/>
        <v>Raw material consumption as result of gross capital formation</v>
      </c>
      <c r="P17" s="174"/>
    </row>
    <row r="18" spans="1:16" ht="11.5">
      <c r="A18" s="1"/>
      <c r="B18" s="175"/>
      <c r="C18" s="84" t="s">
        <v>82</v>
      </c>
      <c r="D18" s="84" t="s">
        <v>127</v>
      </c>
      <c r="E18" s="167">
        <v>14.458</v>
      </c>
      <c r="F18" s="168">
        <v>8.3260000000000005</v>
      </c>
      <c r="G18" s="168">
        <v>6.133</v>
      </c>
      <c r="H18" s="174"/>
      <c r="J18" s="175"/>
      <c r="K18" s="200" t="str">
        <f>C18</f>
        <v>TOTAL</v>
      </c>
      <c r="L18" s="200" t="str">
        <f t="shared" ref="L18:O18" si="3">D18</f>
        <v>Total CPA products</v>
      </c>
      <c r="M18" s="202">
        <f t="shared" si="3"/>
        <v>14.458</v>
      </c>
      <c r="N18" s="202">
        <f t="shared" si="3"/>
        <v>8.3260000000000005</v>
      </c>
      <c r="O18" s="202">
        <f t="shared" si="3"/>
        <v>6.133</v>
      </c>
      <c r="P18" s="174"/>
    </row>
    <row r="19" spans="1:16" ht="11.5">
      <c r="A19" s="1"/>
      <c r="B19" s="175"/>
      <c r="C19" s="84" t="s">
        <v>128</v>
      </c>
      <c r="D19" s="84" t="s">
        <v>129</v>
      </c>
      <c r="E19" s="168">
        <v>0.71299999999999997</v>
      </c>
      <c r="F19" s="168">
        <v>0.54900000000000004</v>
      </c>
      <c r="G19" s="168">
        <v>0.16400000000000001</v>
      </c>
      <c r="H19" s="174"/>
      <c r="J19" s="175"/>
      <c r="K19" s="200" t="s">
        <v>130</v>
      </c>
      <c r="L19" s="201" t="s">
        <v>131</v>
      </c>
      <c r="M19" s="202">
        <v>4.4980000000000002</v>
      </c>
      <c r="N19" s="202">
        <v>0.215</v>
      </c>
      <c r="O19" s="203">
        <v>4.2830000000000004</v>
      </c>
      <c r="P19" s="174"/>
    </row>
    <row r="20" spans="1:16" ht="11.5">
      <c r="A20" s="1"/>
      <c r="B20" s="175"/>
      <c r="C20" s="84" t="s">
        <v>132</v>
      </c>
      <c r="D20" s="84" t="s">
        <v>133</v>
      </c>
      <c r="E20" s="168">
        <v>0.22900000000000001</v>
      </c>
      <c r="F20" s="168">
        <v>0.129</v>
      </c>
      <c r="G20" s="167">
        <v>0.1</v>
      </c>
      <c r="H20" s="174"/>
      <c r="J20" s="175"/>
      <c r="K20" s="200" t="s">
        <v>134</v>
      </c>
      <c r="L20" s="201" t="s">
        <v>135</v>
      </c>
      <c r="M20" s="202">
        <v>1.5229999999999999</v>
      </c>
      <c r="N20" s="202">
        <v>1.4650000000000001</v>
      </c>
      <c r="O20" s="203">
        <v>5.7000000000000002E-2</v>
      </c>
      <c r="P20" s="174"/>
    </row>
    <row r="21" spans="1:16" ht="11.5">
      <c r="A21" s="1"/>
      <c r="B21" s="175"/>
      <c r="C21" s="84" t="s">
        <v>136</v>
      </c>
      <c r="D21" s="84" t="s">
        <v>137</v>
      </c>
      <c r="E21" s="168">
        <v>1.7999999999999999E-2</v>
      </c>
      <c r="F21" s="168">
        <v>1.9E-2</v>
      </c>
      <c r="G21" s="168">
        <v>-1E-3</v>
      </c>
      <c r="H21" s="174"/>
      <c r="J21" s="175"/>
      <c r="K21" s="200" t="s">
        <v>128</v>
      </c>
      <c r="L21" s="201" t="s">
        <v>129</v>
      </c>
      <c r="M21" s="202">
        <v>0.71299999999999997</v>
      </c>
      <c r="N21" s="202">
        <v>0.54900000000000004</v>
      </c>
      <c r="O21" s="203">
        <v>0.16400000000000001</v>
      </c>
      <c r="P21" s="174"/>
    </row>
    <row r="22" spans="1:16" ht="11.5">
      <c r="A22" s="1"/>
      <c r="B22" s="175"/>
      <c r="C22" s="84" t="s">
        <v>138</v>
      </c>
      <c r="D22" s="84" t="s">
        <v>139</v>
      </c>
      <c r="E22" s="168">
        <v>0.33200000000000002</v>
      </c>
      <c r="F22" s="168">
        <v>0.26100000000000001</v>
      </c>
      <c r="G22" s="168">
        <v>7.0000000000000007E-2</v>
      </c>
      <c r="H22" s="174"/>
      <c r="J22" s="175"/>
      <c r="K22" s="200" t="s">
        <v>160</v>
      </c>
      <c r="L22" s="201" t="s">
        <v>161</v>
      </c>
      <c r="M22" s="202">
        <v>0.52600000000000002</v>
      </c>
      <c r="N22" s="202">
        <v>0.51</v>
      </c>
      <c r="O22" s="203">
        <v>1.6E-2</v>
      </c>
      <c r="P22" s="174"/>
    </row>
    <row r="23" spans="1:16" ht="11.5">
      <c r="A23" s="1"/>
      <c r="B23" s="175"/>
      <c r="C23" s="84" t="s">
        <v>134</v>
      </c>
      <c r="D23" s="84" t="s">
        <v>135</v>
      </c>
      <c r="E23" s="168">
        <v>1.5229999999999999</v>
      </c>
      <c r="F23" s="168">
        <v>1.4650000000000001</v>
      </c>
      <c r="G23" s="168">
        <v>5.7000000000000002E-2</v>
      </c>
      <c r="H23" s="174"/>
      <c r="J23" s="175"/>
      <c r="K23" s="200" t="s">
        <v>150</v>
      </c>
      <c r="L23" s="201" t="s">
        <v>151</v>
      </c>
      <c r="M23" s="202">
        <v>0.51900000000000002</v>
      </c>
      <c r="N23" s="202">
        <v>0.50600000000000001</v>
      </c>
      <c r="O23" s="203">
        <v>1.2999999999999999E-2</v>
      </c>
      <c r="P23" s="174"/>
    </row>
    <row r="24" spans="1:16" ht="11.5">
      <c r="A24" s="1"/>
      <c r="B24" s="175"/>
      <c r="C24" s="84" t="s">
        <v>144</v>
      </c>
      <c r="D24" s="84" t="s">
        <v>145</v>
      </c>
      <c r="E24" s="168">
        <v>0.14499999999999999</v>
      </c>
      <c r="F24" s="168">
        <v>0.129</v>
      </c>
      <c r="G24" s="168">
        <v>1.6E-2</v>
      </c>
      <c r="H24" s="174"/>
      <c r="J24" s="175"/>
      <c r="K24" s="200" t="s">
        <v>146</v>
      </c>
      <c r="L24" s="201" t="s">
        <v>147</v>
      </c>
      <c r="M24" s="202">
        <v>0.50700000000000001</v>
      </c>
      <c r="N24" s="202">
        <v>0.505</v>
      </c>
      <c r="O24" s="203">
        <v>2E-3</v>
      </c>
      <c r="P24" s="174"/>
    </row>
    <row r="25" spans="1:16" ht="11.5">
      <c r="A25" s="1"/>
      <c r="B25" s="175"/>
      <c r="C25" s="84" t="s">
        <v>148</v>
      </c>
      <c r="D25" s="84" t="s">
        <v>305</v>
      </c>
      <c r="E25" s="168">
        <v>4.8000000000000001E-2</v>
      </c>
      <c r="F25" s="168">
        <v>2.5000000000000001E-2</v>
      </c>
      <c r="G25" s="168">
        <v>2.3E-2</v>
      </c>
      <c r="H25" s="174"/>
      <c r="J25" s="175"/>
      <c r="K25" s="200" t="s">
        <v>140</v>
      </c>
      <c r="L25" s="201" t="s">
        <v>141</v>
      </c>
      <c r="M25" s="202">
        <v>0.503</v>
      </c>
      <c r="N25" s="202">
        <v>0.504</v>
      </c>
      <c r="O25" s="203">
        <v>-1E-3</v>
      </c>
      <c r="P25" s="174"/>
    </row>
    <row r="26" spans="1:16" ht="11.5">
      <c r="A26" s="1"/>
      <c r="B26" s="175"/>
      <c r="C26" s="84" t="s">
        <v>152</v>
      </c>
      <c r="D26" s="84" t="s">
        <v>153</v>
      </c>
      <c r="E26" s="168">
        <v>4.7E-2</v>
      </c>
      <c r="F26" s="168">
        <v>5.5E-2</v>
      </c>
      <c r="G26" s="168">
        <v>-8.0000000000000002E-3</v>
      </c>
      <c r="H26" s="174"/>
      <c r="J26" s="175"/>
      <c r="K26" s="200" t="s">
        <v>142</v>
      </c>
      <c r="L26" s="201" t="s">
        <v>143</v>
      </c>
      <c r="M26" s="202">
        <v>0.46600000000000003</v>
      </c>
      <c r="N26" s="202">
        <v>0.46600000000000003</v>
      </c>
      <c r="O26" s="203">
        <v>0</v>
      </c>
      <c r="P26" s="174"/>
    </row>
    <row r="27" spans="1:16" ht="11.5">
      <c r="A27" s="1"/>
      <c r="B27" s="175"/>
      <c r="C27" s="84" t="s">
        <v>156</v>
      </c>
      <c r="D27" s="84" t="s">
        <v>157</v>
      </c>
      <c r="E27" s="168">
        <v>4.0000000000000001E-3</v>
      </c>
      <c r="F27" s="168">
        <v>5.0000000000000001E-3</v>
      </c>
      <c r="G27" s="85">
        <v>-2E-3</v>
      </c>
      <c r="H27" s="174"/>
      <c r="J27" s="175"/>
      <c r="K27" s="200" t="s">
        <v>158</v>
      </c>
      <c r="L27" s="201" t="s">
        <v>159</v>
      </c>
      <c r="M27" s="202">
        <v>0.39200000000000002</v>
      </c>
      <c r="N27" s="202">
        <v>0.193</v>
      </c>
      <c r="O27" s="203">
        <v>0.19900000000000001</v>
      </c>
      <c r="P27" s="174"/>
    </row>
    <row r="28" spans="1:16" ht="11.5">
      <c r="A28" s="1"/>
      <c r="B28" s="175"/>
      <c r="C28" s="84" t="s">
        <v>160</v>
      </c>
      <c r="D28" s="84" t="s">
        <v>161</v>
      </c>
      <c r="E28" s="168">
        <v>0.52600000000000002</v>
      </c>
      <c r="F28" s="168">
        <v>0.51</v>
      </c>
      <c r="G28" s="168">
        <v>1.6E-2</v>
      </c>
      <c r="H28" s="174"/>
      <c r="J28" s="175"/>
      <c r="K28" s="200" t="s">
        <v>138</v>
      </c>
      <c r="L28" s="201" t="s">
        <v>139</v>
      </c>
      <c r="M28" s="202">
        <v>0.33200000000000002</v>
      </c>
      <c r="N28" s="202">
        <v>0.26100000000000001</v>
      </c>
      <c r="O28" s="203">
        <v>7.0000000000000007E-2</v>
      </c>
      <c r="P28" s="174"/>
    </row>
    <row r="29" spans="1:16" ht="11.5">
      <c r="A29" s="1"/>
      <c r="B29" s="175"/>
      <c r="C29" s="84" t="s">
        <v>162</v>
      </c>
      <c r="D29" s="84" t="s">
        <v>163</v>
      </c>
      <c r="E29" s="168">
        <v>0.13100000000000001</v>
      </c>
      <c r="F29" s="168">
        <v>0.12</v>
      </c>
      <c r="G29" s="168">
        <v>1.0999999999999999E-2</v>
      </c>
      <c r="H29" s="174"/>
      <c r="J29" s="175"/>
      <c r="K29" s="200" t="s">
        <v>178</v>
      </c>
      <c r="L29" s="201" t="s">
        <v>179</v>
      </c>
      <c r="M29" s="202">
        <v>0.32400000000000001</v>
      </c>
      <c r="N29" s="202">
        <v>0.30399999999999999</v>
      </c>
      <c r="O29" s="203">
        <v>2.1000000000000001E-2</v>
      </c>
      <c r="P29" s="174"/>
    </row>
    <row r="30" spans="1:16" ht="11.5">
      <c r="A30" s="1"/>
      <c r="B30" s="175"/>
      <c r="C30" s="84" t="s">
        <v>166</v>
      </c>
      <c r="D30" s="84" t="s">
        <v>167</v>
      </c>
      <c r="E30" s="168">
        <v>6.6000000000000003E-2</v>
      </c>
      <c r="F30" s="168">
        <v>8.5000000000000006E-2</v>
      </c>
      <c r="G30" s="168">
        <v>-1.9E-2</v>
      </c>
      <c r="H30" s="174"/>
      <c r="J30" s="175"/>
      <c r="K30" s="200" t="s">
        <v>164</v>
      </c>
      <c r="L30" s="201" t="s">
        <v>165</v>
      </c>
      <c r="M30" s="202">
        <v>0.32300000000000001</v>
      </c>
      <c r="N30" s="202">
        <v>0.252</v>
      </c>
      <c r="O30" s="203">
        <v>7.0999999999999994E-2</v>
      </c>
      <c r="P30" s="174"/>
    </row>
    <row r="31" spans="1:16" ht="11.5">
      <c r="A31" s="1"/>
      <c r="B31" s="175"/>
      <c r="C31" s="84" t="s">
        <v>170</v>
      </c>
      <c r="D31" s="84" t="s">
        <v>171</v>
      </c>
      <c r="E31" s="168">
        <v>3.5000000000000003E-2</v>
      </c>
      <c r="F31" s="168">
        <v>2.8000000000000001E-2</v>
      </c>
      <c r="G31" s="167">
        <v>7.0000000000000001E-3</v>
      </c>
      <c r="H31" s="174"/>
      <c r="J31" s="175"/>
      <c r="K31" s="200" t="s">
        <v>168</v>
      </c>
      <c r="L31" s="201" t="s">
        <v>169</v>
      </c>
      <c r="M31" s="202">
        <v>0.28999999999999998</v>
      </c>
      <c r="N31" s="202">
        <v>0.28999999999999998</v>
      </c>
      <c r="O31" s="203">
        <v>0</v>
      </c>
      <c r="P31" s="174"/>
    </row>
    <row r="32" spans="1:16" ht="11.5">
      <c r="A32" s="1"/>
      <c r="B32" s="175"/>
      <c r="C32" s="84" t="s">
        <v>172</v>
      </c>
      <c r="D32" s="84" t="s">
        <v>173</v>
      </c>
      <c r="E32" s="168">
        <v>0.193</v>
      </c>
      <c r="F32" s="168">
        <v>0.16600000000000001</v>
      </c>
      <c r="G32" s="168">
        <v>2.7E-2</v>
      </c>
      <c r="H32" s="174"/>
      <c r="J32" s="175"/>
      <c r="K32" s="200" t="s">
        <v>154</v>
      </c>
      <c r="L32" s="201" t="s">
        <v>155</v>
      </c>
      <c r="M32" s="202">
        <v>0.26300000000000001</v>
      </c>
      <c r="N32" s="202">
        <v>0.254</v>
      </c>
      <c r="O32" s="203">
        <v>8.0000000000000002E-3</v>
      </c>
      <c r="P32" s="174"/>
    </row>
    <row r="33" spans="1:16" ht="11.5">
      <c r="A33" s="1"/>
      <c r="B33" s="175"/>
      <c r="C33" s="84" t="s">
        <v>176</v>
      </c>
      <c r="D33" s="84" t="s">
        <v>177</v>
      </c>
      <c r="E33" s="168">
        <v>1.0999999999999999E-2</v>
      </c>
      <c r="F33" s="168">
        <v>1E-3</v>
      </c>
      <c r="G33" s="168">
        <v>8.9999999999999993E-3</v>
      </c>
      <c r="H33" s="174"/>
      <c r="J33" s="175"/>
      <c r="K33" s="200" t="s">
        <v>174</v>
      </c>
      <c r="L33" s="201" t="s">
        <v>175</v>
      </c>
      <c r="M33" s="202">
        <v>0.23200000000000001</v>
      </c>
      <c r="N33" s="202">
        <v>7.0000000000000001E-3</v>
      </c>
      <c r="O33" s="203">
        <v>0.224</v>
      </c>
      <c r="P33" s="174"/>
    </row>
    <row r="34" spans="1:16" ht="11.5">
      <c r="A34" s="1"/>
      <c r="B34" s="175"/>
      <c r="C34" s="84" t="s">
        <v>180</v>
      </c>
      <c r="D34" s="84" t="s">
        <v>181</v>
      </c>
      <c r="E34" s="168">
        <v>0.13900000000000001</v>
      </c>
      <c r="F34" s="168">
        <v>3.3000000000000002E-2</v>
      </c>
      <c r="G34" s="167">
        <v>0.106</v>
      </c>
      <c r="H34" s="174"/>
      <c r="J34" s="175"/>
      <c r="K34" s="200" t="s">
        <v>132</v>
      </c>
      <c r="L34" s="201" t="s">
        <v>133</v>
      </c>
      <c r="M34" s="202">
        <v>0.22900000000000001</v>
      </c>
      <c r="N34" s="202">
        <v>0.129</v>
      </c>
      <c r="O34" s="203">
        <v>0.1</v>
      </c>
      <c r="P34" s="174"/>
    </row>
    <row r="35" spans="1:16" ht="11.5">
      <c r="A35" s="1"/>
      <c r="B35" s="175"/>
      <c r="C35" s="84" t="s">
        <v>184</v>
      </c>
      <c r="D35" s="84" t="s">
        <v>185</v>
      </c>
      <c r="E35" s="168">
        <v>0.13100000000000001</v>
      </c>
      <c r="F35" s="168">
        <v>0.05</v>
      </c>
      <c r="G35" s="168">
        <v>8.1000000000000003E-2</v>
      </c>
      <c r="H35" s="174"/>
      <c r="J35" s="175"/>
      <c r="K35" s="200" t="s">
        <v>188</v>
      </c>
      <c r="L35" s="201" t="s">
        <v>189</v>
      </c>
      <c r="M35" s="202">
        <v>0.21099999999999999</v>
      </c>
      <c r="N35" s="202">
        <v>2.4E-2</v>
      </c>
      <c r="O35" s="203">
        <v>0.187</v>
      </c>
      <c r="P35" s="174"/>
    </row>
    <row r="36" spans="1:16" ht="11.5">
      <c r="A36" s="1"/>
      <c r="B36" s="175"/>
      <c r="C36" s="84" t="s">
        <v>186</v>
      </c>
      <c r="D36" s="84" t="s">
        <v>187</v>
      </c>
      <c r="E36" s="168">
        <v>0.11799999999999999</v>
      </c>
      <c r="F36" s="168">
        <v>5.2999999999999999E-2</v>
      </c>
      <c r="G36" s="168">
        <v>6.5000000000000002E-2</v>
      </c>
      <c r="H36" s="174"/>
      <c r="J36" s="175"/>
      <c r="K36" s="200" t="s">
        <v>182</v>
      </c>
      <c r="L36" s="201" t="s">
        <v>183</v>
      </c>
      <c r="M36" s="202">
        <v>0.20799999999999999</v>
      </c>
      <c r="N36" s="202">
        <v>0.13300000000000001</v>
      </c>
      <c r="O36" s="203">
        <v>7.4999999999999997E-2</v>
      </c>
      <c r="P36" s="174"/>
    </row>
    <row r="37" spans="1:16" ht="11.5">
      <c r="A37" s="1"/>
      <c r="B37" s="175"/>
      <c r="C37" s="84" t="s">
        <v>174</v>
      </c>
      <c r="D37" s="84" t="s">
        <v>175</v>
      </c>
      <c r="E37" s="168">
        <v>0.23200000000000001</v>
      </c>
      <c r="F37" s="167">
        <v>7.0000000000000001E-3</v>
      </c>
      <c r="G37" s="168">
        <v>0.224</v>
      </c>
      <c r="H37" s="174"/>
      <c r="J37" s="175"/>
      <c r="K37" s="200" t="s">
        <v>172</v>
      </c>
      <c r="L37" s="201" t="s">
        <v>173</v>
      </c>
      <c r="M37" s="202">
        <v>0.193</v>
      </c>
      <c r="N37" s="202">
        <v>0.16600000000000001</v>
      </c>
      <c r="O37" s="203">
        <v>2.7E-2</v>
      </c>
      <c r="P37" s="174"/>
    </row>
    <row r="38" spans="1:16" ht="11.5">
      <c r="A38" s="1"/>
      <c r="B38" s="175"/>
      <c r="C38" s="84" t="s">
        <v>158</v>
      </c>
      <c r="D38" s="84" t="s">
        <v>159</v>
      </c>
      <c r="E38" s="168">
        <v>0.39200000000000002</v>
      </c>
      <c r="F38" s="168">
        <v>0.193</v>
      </c>
      <c r="G38" s="168">
        <v>0.19900000000000001</v>
      </c>
      <c r="H38" s="174"/>
      <c r="J38" s="175"/>
      <c r="K38" s="200" t="s">
        <v>144</v>
      </c>
      <c r="L38" s="201" t="s">
        <v>145</v>
      </c>
      <c r="M38" s="202">
        <v>0.14499999999999999</v>
      </c>
      <c r="N38" s="202">
        <v>0.129</v>
      </c>
      <c r="O38" s="203">
        <v>1.6E-2</v>
      </c>
      <c r="P38" s="174"/>
    </row>
    <row r="39" spans="1:16" ht="11.5">
      <c r="A39" s="1"/>
      <c r="B39" s="175"/>
      <c r="C39" s="84" t="s">
        <v>190</v>
      </c>
      <c r="D39" s="84" t="s">
        <v>191</v>
      </c>
      <c r="E39" s="168">
        <v>8.1000000000000003E-2</v>
      </c>
      <c r="F39" s="167">
        <v>3.0000000000000001E-3</v>
      </c>
      <c r="G39" s="168">
        <v>7.8E-2</v>
      </c>
      <c r="H39" s="174"/>
      <c r="J39" s="175"/>
      <c r="K39" s="200" t="s">
        <v>180</v>
      </c>
      <c r="L39" s="201" t="s">
        <v>181</v>
      </c>
      <c r="M39" s="202">
        <v>0.13900000000000001</v>
      </c>
      <c r="N39" s="202">
        <v>3.3000000000000002E-2</v>
      </c>
      <c r="O39" s="203">
        <v>0.106</v>
      </c>
      <c r="P39" s="174"/>
    </row>
    <row r="40" spans="1:16" ht="11.5">
      <c r="A40" s="1"/>
      <c r="B40" s="175"/>
      <c r="C40" s="84" t="s">
        <v>182</v>
      </c>
      <c r="D40" s="84" t="s">
        <v>183</v>
      </c>
      <c r="E40" s="167">
        <v>0.20799999999999999</v>
      </c>
      <c r="F40" s="168">
        <v>0.13300000000000001</v>
      </c>
      <c r="G40" s="168">
        <v>7.4999999999999997E-2</v>
      </c>
      <c r="H40" s="174"/>
      <c r="J40" s="175"/>
      <c r="K40" s="200" t="s">
        <v>192</v>
      </c>
      <c r="L40" s="201" t="s">
        <v>193</v>
      </c>
      <c r="M40" s="202">
        <v>0.13300000000000001</v>
      </c>
      <c r="N40" s="202">
        <v>0.13300000000000001</v>
      </c>
      <c r="O40" s="203">
        <v>0</v>
      </c>
      <c r="P40" s="174"/>
    </row>
    <row r="41" spans="1:16" ht="11.5">
      <c r="A41" s="1"/>
      <c r="B41" s="175"/>
      <c r="C41" s="84" t="s">
        <v>194</v>
      </c>
      <c r="D41" s="84" t="s">
        <v>195</v>
      </c>
      <c r="E41" s="168">
        <v>8.5000000000000006E-2</v>
      </c>
      <c r="F41" s="168">
        <v>2E-3</v>
      </c>
      <c r="G41" s="168">
        <v>8.2000000000000003E-2</v>
      </c>
      <c r="H41" s="174"/>
      <c r="J41" s="175"/>
      <c r="K41" s="200" t="s">
        <v>162</v>
      </c>
      <c r="L41" s="201" t="s">
        <v>163</v>
      </c>
      <c r="M41" s="202">
        <v>0.13100000000000001</v>
      </c>
      <c r="N41" s="202">
        <v>0.12</v>
      </c>
      <c r="O41" s="203">
        <v>1.0999999999999999E-2</v>
      </c>
      <c r="P41" s="174"/>
    </row>
    <row r="42" spans="1:16" ht="11.5">
      <c r="A42" s="1"/>
      <c r="B42" s="175"/>
      <c r="C42" s="84" t="s">
        <v>140</v>
      </c>
      <c r="D42" s="84" t="s">
        <v>141</v>
      </c>
      <c r="E42" s="168">
        <v>0.503</v>
      </c>
      <c r="F42" s="168">
        <v>0.504</v>
      </c>
      <c r="G42" s="168">
        <v>-1E-3</v>
      </c>
      <c r="H42" s="174"/>
      <c r="J42" s="175"/>
      <c r="K42" s="200" t="s">
        <v>184</v>
      </c>
      <c r="L42" s="201" t="s">
        <v>185</v>
      </c>
      <c r="M42" s="202">
        <v>0.13100000000000001</v>
      </c>
      <c r="N42" s="202">
        <v>0.05</v>
      </c>
      <c r="O42" s="203">
        <v>8.1000000000000003E-2</v>
      </c>
      <c r="P42" s="174"/>
    </row>
    <row r="43" spans="1:16" ht="11.5">
      <c r="A43" s="1"/>
      <c r="B43" s="175"/>
      <c r="C43" s="84" t="s">
        <v>196</v>
      </c>
      <c r="D43" s="84" t="s">
        <v>197</v>
      </c>
      <c r="E43" s="168">
        <v>2.3E-2</v>
      </c>
      <c r="F43" s="168">
        <v>2.3E-2</v>
      </c>
      <c r="G43" s="85">
        <v>0</v>
      </c>
      <c r="H43" s="174"/>
      <c r="J43" s="175"/>
      <c r="K43" s="200" t="s">
        <v>186</v>
      </c>
      <c r="L43" s="201" t="s">
        <v>187</v>
      </c>
      <c r="M43" s="202">
        <v>0.11799999999999999</v>
      </c>
      <c r="N43" s="202">
        <v>5.2999999999999999E-2</v>
      </c>
      <c r="O43" s="203">
        <v>6.5000000000000002E-2</v>
      </c>
      <c r="P43" s="174"/>
    </row>
    <row r="44" spans="1:16" ht="11.5">
      <c r="A44" s="1"/>
      <c r="B44" s="175"/>
      <c r="C44" s="84" t="s">
        <v>198</v>
      </c>
      <c r="D44" s="84" t="s">
        <v>199</v>
      </c>
      <c r="E44" s="168">
        <v>0.10199999999999999</v>
      </c>
      <c r="F44" s="168">
        <v>0.10199999999999999</v>
      </c>
      <c r="G44" s="168">
        <v>0</v>
      </c>
      <c r="H44" s="174"/>
      <c r="J44" s="175"/>
      <c r="K44" s="200" t="s">
        <v>200</v>
      </c>
      <c r="L44" s="201" t="s">
        <v>201</v>
      </c>
      <c r="M44" s="202">
        <v>0.113</v>
      </c>
      <c r="N44" s="202">
        <v>0.113</v>
      </c>
      <c r="O44" s="203">
        <v>0</v>
      </c>
      <c r="P44" s="174"/>
    </row>
    <row r="45" spans="1:16" ht="11.5">
      <c r="A45" s="1"/>
      <c r="B45" s="175"/>
      <c r="C45" s="84" t="s">
        <v>130</v>
      </c>
      <c r="D45" s="84" t="s">
        <v>131</v>
      </c>
      <c r="E45" s="168">
        <v>4.4980000000000002</v>
      </c>
      <c r="F45" s="168">
        <v>0.215</v>
      </c>
      <c r="G45" s="168">
        <v>4.2830000000000004</v>
      </c>
      <c r="H45" s="174"/>
      <c r="J45" s="175"/>
      <c r="K45" s="200" t="s">
        <v>198</v>
      </c>
      <c r="L45" s="201" t="s">
        <v>199</v>
      </c>
      <c r="M45" s="202">
        <v>0.10199999999999999</v>
      </c>
      <c r="N45" s="202">
        <v>0.10199999999999999</v>
      </c>
      <c r="O45" s="203">
        <v>0</v>
      </c>
      <c r="P45" s="174"/>
    </row>
    <row r="46" spans="1:16" ht="11.5">
      <c r="A46" s="1"/>
      <c r="B46" s="175"/>
      <c r="C46" s="84" t="s">
        <v>202</v>
      </c>
      <c r="D46" s="84" t="s">
        <v>203</v>
      </c>
      <c r="E46" s="167">
        <v>8.3000000000000004E-2</v>
      </c>
      <c r="F46" s="168">
        <v>7.0999999999999994E-2</v>
      </c>
      <c r="G46" s="168">
        <v>1.2E-2</v>
      </c>
      <c r="H46" s="174"/>
      <c r="J46" s="175"/>
      <c r="K46" s="200" t="s">
        <v>194</v>
      </c>
      <c r="L46" s="201" t="s">
        <v>195</v>
      </c>
      <c r="M46" s="202">
        <v>8.5000000000000006E-2</v>
      </c>
      <c r="N46" s="202">
        <v>2E-3</v>
      </c>
      <c r="O46" s="203">
        <v>8.2000000000000003E-2</v>
      </c>
      <c r="P46" s="174"/>
    </row>
    <row r="47" spans="1:16" ht="11.5">
      <c r="A47" s="1"/>
      <c r="B47" s="175"/>
      <c r="C47" s="84" t="s">
        <v>164</v>
      </c>
      <c r="D47" s="84" t="s">
        <v>165</v>
      </c>
      <c r="E47" s="168">
        <v>0.32300000000000001</v>
      </c>
      <c r="F47" s="167">
        <v>0.252</v>
      </c>
      <c r="G47" s="168">
        <v>7.0999999999999994E-2</v>
      </c>
      <c r="H47" s="174"/>
      <c r="J47" s="175"/>
      <c r="K47" s="200" t="s">
        <v>202</v>
      </c>
      <c r="L47" s="201" t="s">
        <v>203</v>
      </c>
      <c r="M47" s="202">
        <v>8.3000000000000004E-2</v>
      </c>
      <c r="N47" s="202">
        <v>7.0999999999999994E-2</v>
      </c>
      <c r="O47" s="203">
        <v>1.2E-2</v>
      </c>
      <c r="P47" s="174"/>
    </row>
    <row r="48" spans="1:16" ht="11.5">
      <c r="A48" s="1"/>
      <c r="B48" s="175"/>
      <c r="C48" s="84" t="s">
        <v>178</v>
      </c>
      <c r="D48" s="84" t="s">
        <v>179</v>
      </c>
      <c r="E48" s="168">
        <v>0.32400000000000001</v>
      </c>
      <c r="F48" s="168">
        <v>0.30399999999999999</v>
      </c>
      <c r="G48" s="168">
        <v>2.1000000000000001E-2</v>
      </c>
      <c r="H48" s="174"/>
      <c r="J48" s="175"/>
      <c r="K48" s="200" t="s">
        <v>190</v>
      </c>
      <c r="L48" s="201" t="s">
        <v>191</v>
      </c>
      <c r="M48" s="202">
        <v>8.1000000000000003E-2</v>
      </c>
      <c r="N48" s="202">
        <v>3.0000000000000001E-3</v>
      </c>
      <c r="O48" s="203">
        <v>7.8E-2</v>
      </c>
      <c r="P48" s="174"/>
    </row>
    <row r="49" spans="1:16" ht="11.5">
      <c r="A49" s="1"/>
      <c r="B49" s="175"/>
      <c r="C49" s="84" t="s">
        <v>154</v>
      </c>
      <c r="D49" s="84" t="s">
        <v>155</v>
      </c>
      <c r="E49" s="168">
        <v>0.26300000000000001</v>
      </c>
      <c r="F49" s="169">
        <v>0.254</v>
      </c>
      <c r="G49" s="168">
        <v>8.0000000000000002E-3</v>
      </c>
      <c r="H49" s="174"/>
      <c r="J49" s="175"/>
      <c r="K49" s="200" t="s">
        <v>210</v>
      </c>
      <c r="L49" s="201" t="s">
        <v>211</v>
      </c>
      <c r="M49" s="202">
        <v>6.9000000000000006E-2</v>
      </c>
      <c r="N49" s="202">
        <v>1E-3</v>
      </c>
      <c r="O49" s="203">
        <v>6.8000000000000005E-2</v>
      </c>
      <c r="P49" s="174"/>
    </row>
    <row r="50" spans="1:16" ht="11.5">
      <c r="A50" s="1"/>
      <c r="B50" s="175"/>
      <c r="C50" s="84" t="s">
        <v>204</v>
      </c>
      <c r="D50" s="84" t="s">
        <v>205</v>
      </c>
      <c r="E50" s="168">
        <v>6.0000000000000001E-3</v>
      </c>
      <c r="F50" s="168">
        <v>8.9999999999999993E-3</v>
      </c>
      <c r="G50" s="85">
        <v>-3.0000000000000001E-3</v>
      </c>
      <c r="H50" s="174"/>
      <c r="J50" s="175"/>
      <c r="K50" s="200" t="s">
        <v>166</v>
      </c>
      <c r="L50" s="201" t="s">
        <v>167</v>
      </c>
      <c r="M50" s="202">
        <v>6.6000000000000003E-2</v>
      </c>
      <c r="N50" s="202">
        <v>8.5000000000000006E-2</v>
      </c>
      <c r="O50" s="203">
        <v>-1.9E-2</v>
      </c>
      <c r="P50" s="174"/>
    </row>
    <row r="51" spans="1:16" ht="11.5">
      <c r="A51" s="1"/>
      <c r="B51" s="175"/>
      <c r="C51" s="84" t="s">
        <v>208</v>
      </c>
      <c r="D51" s="84" t="s">
        <v>209</v>
      </c>
      <c r="E51" s="168">
        <v>3.2000000000000001E-2</v>
      </c>
      <c r="F51" s="168">
        <v>3.1E-2</v>
      </c>
      <c r="G51" s="85">
        <v>0</v>
      </c>
      <c r="H51" s="174"/>
      <c r="J51" s="175"/>
      <c r="K51" s="200" t="s">
        <v>216</v>
      </c>
      <c r="L51" s="201" t="s">
        <v>217</v>
      </c>
      <c r="M51" s="202">
        <v>5.6000000000000001E-2</v>
      </c>
      <c r="N51" s="202">
        <v>5.2999999999999999E-2</v>
      </c>
      <c r="O51" s="203">
        <v>3.0000000000000001E-3</v>
      </c>
      <c r="P51" s="174"/>
    </row>
    <row r="52" spans="1:16" ht="11.5">
      <c r="A52" s="1"/>
      <c r="B52" s="175"/>
      <c r="C52" s="84" t="s">
        <v>212</v>
      </c>
      <c r="D52" s="84" t="s">
        <v>213</v>
      </c>
      <c r="E52" s="168">
        <v>4.1000000000000002E-2</v>
      </c>
      <c r="F52" s="168">
        <v>4.1000000000000002E-2</v>
      </c>
      <c r="G52" s="85">
        <v>0</v>
      </c>
      <c r="H52" s="174"/>
      <c r="J52" s="175"/>
      <c r="K52" s="200" t="s">
        <v>224</v>
      </c>
      <c r="L52" s="201" t="s">
        <v>225</v>
      </c>
      <c r="M52" s="202">
        <v>5.2999999999999999E-2</v>
      </c>
      <c r="N52" s="202">
        <v>5.2999999999999999E-2</v>
      </c>
      <c r="O52" s="203">
        <v>0</v>
      </c>
      <c r="P52" s="174"/>
    </row>
    <row r="53" spans="1:16" ht="11.5">
      <c r="A53" s="1"/>
      <c r="B53" s="175"/>
      <c r="C53" s="84" t="s">
        <v>214</v>
      </c>
      <c r="D53" s="84" t="s">
        <v>215</v>
      </c>
      <c r="E53" s="168">
        <v>3.0000000000000001E-3</v>
      </c>
      <c r="F53" s="168">
        <v>3.0000000000000001E-3</v>
      </c>
      <c r="G53" s="85">
        <v>0</v>
      </c>
      <c r="H53" s="174"/>
      <c r="J53" s="175"/>
      <c r="K53" s="200" t="s">
        <v>206</v>
      </c>
      <c r="L53" s="201" t="s">
        <v>207</v>
      </c>
      <c r="M53" s="202">
        <v>5.1999999999999998E-2</v>
      </c>
      <c r="N53" s="202">
        <v>5.1999999999999998E-2</v>
      </c>
      <c r="O53" s="203">
        <v>0</v>
      </c>
      <c r="P53" s="174"/>
    </row>
    <row r="54" spans="1:16" ht="11.5">
      <c r="A54" s="1"/>
      <c r="B54" s="175"/>
      <c r="C54" s="84" t="s">
        <v>142</v>
      </c>
      <c r="D54" s="84" t="s">
        <v>143</v>
      </c>
      <c r="E54" s="168">
        <v>0.46600000000000003</v>
      </c>
      <c r="F54" s="168">
        <v>0.46600000000000003</v>
      </c>
      <c r="G54" s="85">
        <v>0</v>
      </c>
      <c r="H54" s="174"/>
      <c r="J54" s="175"/>
      <c r="K54" s="200" t="s">
        <v>236</v>
      </c>
      <c r="L54" s="201" t="s">
        <v>237</v>
      </c>
      <c r="M54" s="202">
        <v>5.0999999999999997E-2</v>
      </c>
      <c r="N54" s="202">
        <v>6.0000000000000001E-3</v>
      </c>
      <c r="O54" s="203">
        <v>4.4999999999999998E-2</v>
      </c>
      <c r="P54" s="174"/>
    </row>
    <row r="55" spans="1:16" ht="11.5">
      <c r="A55" s="1"/>
      <c r="B55" s="175"/>
      <c r="C55" s="84" t="s">
        <v>218</v>
      </c>
      <c r="D55" s="84" t="s">
        <v>219</v>
      </c>
      <c r="E55" s="168">
        <v>3.4000000000000002E-2</v>
      </c>
      <c r="F55" s="168">
        <v>2.1000000000000001E-2</v>
      </c>
      <c r="G55" s="168">
        <v>1.2999999999999999E-2</v>
      </c>
      <c r="H55" s="174"/>
      <c r="J55" s="175"/>
      <c r="K55" s="200" t="s">
        <v>148</v>
      </c>
      <c r="L55" s="201" t="s">
        <v>305</v>
      </c>
      <c r="M55" s="202">
        <v>4.8000000000000001E-2</v>
      </c>
      <c r="N55" s="202">
        <v>2.5000000000000001E-2</v>
      </c>
      <c r="O55" s="203">
        <v>2.3E-2</v>
      </c>
      <c r="P55" s="174"/>
    </row>
    <row r="56" spans="1:16" ht="11.5">
      <c r="A56" s="1"/>
      <c r="B56" s="175"/>
      <c r="C56" s="84" t="s">
        <v>222</v>
      </c>
      <c r="D56" s="84" t="s">
        <v>223</v>
      </c>
      <c r="E56" s="168">
        <v>2.7E-2</v>
      </c>
      <c r="F56" s="168">
        <v>0.02</v>
      </c>
      <c r="G56" s="168">
        <v>7.0000000000000001E-3</v>
      </c>
      <c r="H56" s="174"/>
      <c r="J56" s="175"/>
      <c r="K56" s="200" t="s">
        <v>152</v>
      </c>
      <c r="L56" s="201" t="s">
        <v>153</v>
      </c>
      <c r="M56" s="202">
        <v>4.7E-2</v>
      </c>
      <c r="N56" s="202">
        <v>5.5E-2</v>
      </c>
      <c r="O56" s="203">
        <v>-8.0000000000000002E-3</v>
      </c>
      <c r="P56" s="174"/>
    </row>
    <row r="57" spans="1:16" ht="11.5">
      <c r="A57" s="1"/>
      <c r="B57" s="175"/>
      <c r="C57" s="84" t="s">
        <v>206</v>
      </c>
      <c r="D57" s="84" t="s">
        <v>207</v>
      </c>
      <c r="E57" s="167">
        <v>5.1999999999999998E-2</v>
      </c>
      <c r="F57" s="167">
        <v>5.1999999999999998E-2</v>
      </c>
      <c r="G57" s="85">
        <v>0</v>
      </c>
      <c r="H57" s="174"/>
      <c r="J57" s="175"/>
      <c r="K57" s="200" t="s">
        <v>248</v>
      </c>
      <c r="L57" s="201" t="s">
        <v>249</v>
      </c>
      <c r="M57" s="202">
        <v>4.5999999999999999E-2</v>
      </c>
      <c r="N57" s="202">
        <v>4.5999999999999999E-2</v>
      </c>
      <c r="O57" s="203">
        <v>0</v>
      </c>
      <c r="P57" s="174"/>
    </row>
    <row r="58" spans="1:16" ht="11.5">
      <c r="A58" s="1"/>
      <c r="B58" s="175"/>
      <c r="C58" s="84" t="s">
        <v>210</v>
      </c>
      <c r="D58" s="84" t="s">
        <v>211</v>
      </c>
      <c r="E58" s="167">
        <v>6.9000000000000006E-2</v>
      </c>
      <c r="F58" s="168">
        <v>1E-3</v>
      </c>
      <c r="G58" s="168">
        <v>6.8000000000000005E-2</v>
      </c>
      <c r="H58" s="174"/>
      <c r="J58" s="175"/>
      <c r="K58" s="200" t="s">
        <v>226</v>
      </c>
      <c r="L58" s="201" t="s">
        <v>227</v>
      </c>
      <c r="M58" s="202">
        <v>4.5999999999999999E-2</v>
      </c>
      <c r="N58" s="202">
        <v>4.5999999999999999E-2</v>
      </c>
      <c r="O58" s="203">
        <v>0</v>
      </c>
      <c r="P58" s="174"/>
    </row>
    <row r="59" spans="1:16" ht="11.5">
      <c r="A59" s="1"/>
      <c r="B59" s="175"/>
      <c r="C59" s="84" t="s">
        <v>228</v>
      </c>
      <c r="D59" s="84" t="s">
        <v>229</v>
      </c>
      <c r="E59" s="168">
        <v>2.1999999999999999E-2</v>
      </c>
      <c r="F59" s="168">
        <v>2.1999999999999999E-2</v>
      </c>
      <c r="G59" s="85">
        <v>0</v>
      </c>
      <c r="H59" s="174"/>
      <c r="J59" s="175"/>
      <c r="K59" s="200" t="s">
        <v>212</v>
      </c>
      <c r="L59" s="201" t="s">
        <v>213</v>
      </c>
      <c r="M59" s="202">
        <v>4.1000000000000002E-2</v>
      </c>
      <c r="N59" s="202">
        <v>4.1000000000000002E-2</v>
      </c>
      <c r="O59" s="203">
        <v>0</v>
      </c>
      <c r="P59" s="174"/>
    </row>
    <row r="60" spans="1:16" ht="11.5">
      <c r="A60" s="1"/>
      <c r="B60" s="175"/>
      <c r="C60" s="84" t="s">
        <v>220</v>
      </c>
      <c r="D60" s="84" t="s">
        <v>221</v>
      </c>
      <c r="E60" s="168">
        <v>3.6999999999999998E-2</v>
      </c>
      <c r="F60" s="168">
        <v>3.6999999999999998E-2</v>
      </c>
      <c r="G60" s="85">
        <v>0</v>
      </c>
      <c r="H60" s="174"/>
      <c r="J60" s="175"/>
      <c r="K60" s="200" t="s">
        <v>220</v>
      </c>
      <c r="L60" s="201" t="s">
        <v>221</v>
      </c>
      <c r="M60" s="202">
        <v>3.6999999999999998E-2</v>
      </c>
      <c r="N60" s="202">
        <v>3.6999999999999998E-2</v>
      </c>
      <c r="O60" s="203">
        <v>0</v>
      </c>
      <c r="P60" s="174"/>
    </row>
    <row r="61" spans="1:16" ht="11.5">
      <c r="A61" s="1"/>
      <c r="B61" s="175"/>
      <c r="C61" s="84" t="s">
        <v>230</v>
      </c>
      <c r="D61" s="84" t="s">
        <v>231</v>
      </c>
      <c r="E61" s="168">
        <v>5.0000000000000001E-3</v>
      </c>
      <c r="F61" s="168">
        <v>5.0000000000000001E-3</v>
      </c>
      <c r="G61" s="85">
        <v>0</v>
      </c>
      <c r="H61" s="174"/>
      <c r="J61" s="175"/>
      <c r="K61" s="200" t="s">
        <v>170</v>
      </c>
      <c r="L61" s="201" t="s">
        <v>171</v>
      </c>
      <c r="M61" s="202">
        <v>3.5000000000000003E-2</v>
      </c>
      <c r="N61" s="202">
        <v>2.8000000000000001E-2</v>
      </c>
      <c r="O61" s="203">
        <v>7.0000000000000001E-3</v>
      </c>
      <c r="P61" s="174"/>
    </row>
    <row r="62" spans="1:16" ht="11.5">
      <c r="A62" s="1"/>
      <c r="B62" s="175"/>
      <c r="C62" s="84" t="s">
        <v>150</v>
      </c>
      <c r="D62" s="84" t="s">
        <v>151</v>
      </c>
      <c r="E62" s="168">
        <v>0.51900000000000002</v>
      </c>
      <c r="F62" s="168">
        <v>0.50600000000000001</v>
      </c>
      <c r="G62" s="168">
        <v>1.2999999999999999E-2</v>
      </c>
      <c r="H62" s="174"/>
      <c r="J62" s="175"/>
      <c r="K62" s="200" t="s">
        <v>218</v>
      </c>
      <c r="L62" s="201" t="s">
        <v>219</v>
      </c>
      <c r="M62" s="202">
        <v>3.4000000000000002E-2</v>
      </c>
      <c r="N62" s="202">
        <v>2.1000000000000001E-2</v>
      </c>
      <c r="O62" s="203">
        <v>1.2999999999999999E-2</v>
      </c>
      <c r="P62" s="174"/>
    </row>
    <row r="63" spans="1:16" ht="11.5">
      <c r="A63" s="1"/>
      <c r="B63" s="175"/>
      <c r="C63" s="84" t="s">
        <v>234</v>
      </c>
      <c r="D63" s="84" t="s">
        <v>235</v>
      </c>
      <c r="E63" s="168">
        <v>0.02</v>
      </c>
      <c r="F63" s="168">
        <v>8.0000000000000002E-3</v>
      </c>
      <c r="G63" s="168">
        <v>1.2E-2</v>
      </c>
      <c r="H63" s="174"/>
      <c r="J63" s="175"/>
      <c r="K63" s="200" t="s">
        <v>232</v>
      </c>
      <c r="L63" s="201" t="s">
        <v>233</v>
      </c>
      <c r="M63" s="202">
        <v>3.4000000000000002E-2</v>
      </c>
      <c r="N63" s="202">
        <v>3.4000000000000002E-2</v>
      </c>
      <c r="O63" s="203">
        <v>0</v>
      </c>
      <c r="P63" s="174"/>
    </row>
    <row r="64" spans="1:16" ht="11.5">
      <c r="A64" s="1"/>
      <c r="B64" s="175"/>
      <c r="C64" s="84" t="s">
        <v>236</v>
      </c>
      <c r="D64" s="84" t="s">
        <v>237</v>
      </c>
      <c r="E64" s="168">
        <v>5.0999999999999997E-2</v>
      </c>
      <c r="F64" s="168">
        <v>6.0000000000000001E-3</v>
      </c>
      <c r="G64" s="167">
        <v>4.4999999999999998E-2</v>
      </c>
      <c r="H64" s="174"/>
      <c r="J64" s="175"/>
      <c r="K64" s="200" t="s">
        <v>208</v>
      </c>
      <c r="L64" s="201" t="s">
        <v>209</v>
      </c>
      <c r="M64" s="202">
        <v>3.2000000000000001E-2</v>
      </c>
      <c r="N64" s="202">
        <v>3.1E-2</v>
      </c>
      <c r="O64" s="203">
        <v>0</v>
      </c>
      <c r="P64" s="174"/>
    </row>
    <row r="65" spans="1:16" ht="11.5">
      <c r="A65" s="1"/>
      <c r="B65" s="175"/>
      <c r="C65" s="84" t="s">
        <v>188</v>
      </c>
      <c r="D65" s="84" t="s">
        <v>189</v>
      </c>
      <c r="E65" s="167">
        <v>0.21099999999999999</v>
      </c>
      <c r="F65" s="168">
        <v>2.4E-2</v>
      </c>
      <c r="G65" s="168">
        <v>0.187</v>
      </c>
      <c r="H65" s="174"/>
      <c r="J65" s="175"/>
      <c r="K65" s="200" t="s">
        <v>222</v>
      </c>
      <c r="L65" s="201" t="s">
        <v>223</v>
      </c>
      <c r="M65" s="202">
        <v>2.7E-2</v>
      </c>
      <c r="N65" s="202">
        <v>0.02</v>
      </c>
      <c r="O65" s="203">
        <v>7.0000000000000001E-3</v>
      </c>
      <c r="P65" s="174"/>
    </row>
    <row r="66" spans="1:16" ht="11.5">
      <c r="A66" s="1"/>
      <c r="B66" s="175"/>
      <c r="C66" s="84" t="s">
        <v>238</v>
      </c>
      <c r="D66" s="84" t="s">
        <v>239</v>
      </c>
      <c r="E66" s="168">
        <v>1E-3</v>
      </c>
      <c r="F66" s="85">
        <v>0</v>
      </c>
      <c r="G66" s="168">
        <v>0</v>
      </c>
      <c r="H66" s="174"/>
      <c r="J66" s="175"/>
      <c r="K66" s="200" t="s">
        <v>244</v>
      </c>
      <c r="L66" s="201" t="s">
        <v>245</v>
      </c>
      <c r="M66" s="202">
        <v>2.4E-2</v>
      </c>
      <c r="N66" s="202">
        <v>1.9E-2</v>
      </c>
      <c r="O66" s="203">
        <v>5.0000000000000001E-3</v>
      </c>
      <c r="P66" s="174"/>
    </row>
    <row r="67" spans="1:16" ht="11.5">
      <c r="A67" s="1"/>
      <c r="B67" s="175"/>
      <c r="C67" s="84" t="s">
        <v>240</v>
      </c>
      <c r="D67" s="84" t="s">
        <v>241</v>
      </c>
      <c r="E67" s="168">
        <v>8.9999999999999993E-3</v>
      </c>
      <c r="F67" s="168">
        <v>8.0000000000000002E-3</v>
      </c>
      <c r="G67" s="168">
        <v>1E-3</v>
      </c>
      <c r="H67" s="174"/>
      <c r="J67" s="175"/>
      <c r="K67" s="200" t="s">
        <v>196</v>
      </c>
      <c r="L67" s="201" t="s">
        <v>197</v>
      </c>
      <c r="M67" s="202">
        <v>2.3E-2</v>
      </c>
      <c r="N67" s="202">
        <v>2.3E-2</v>
      </c>
      <c r="O67" s="203">
        <v>0</v>
      </c>
      <c r="P67" s="174"/>
    </row>
    <row r="68" spans="1:16" ht="11.5">
      <c r="A68" s="1"/>
      <c r="B68" s="175"/>
      <c r="C68" s="84" t="s">
        <v>242</v>
      </c>
      <c r="D68" s="84" t="s">
        <v>243</v>
      </c>
      <c r="E68" s="168">
        <v>1.6E-2</v>
      </c>
      <c r="F68" s="168">
        <v>1.4999999999999999E-2</v>
      </c>
      <c r="G68" s="168">
        <v>1E-3</v>
      </c>
      <c r="H68" s="174"/>
      <c r="J68" s="175"/>
      <c r="K68" s="200" t="s">
        <v>228</v>
      </c>
      <c r="L68" s="201" t="s">
        <v>229</v>
      </c>
      <c r="M68" s="202">
        <v>2.1999999999999999E-2</v>
      </c>
      <c r="N68" s="202">
        <v>2.1999999999999999E-2</v>
      </c>
      <c r="O68" s="203">
        <v>0</v>
      </c>
      <c r="P68" s="174"/>
    </row>
    <row r="69" spans="1:16" ht="11.5">
      <c r="A69" s="1"/>
      <c r="B69" s="175"/>
      <c r="C69" s="84" t="s">
        <v>246</v>
      </c>
      <c r="D69" s="84" t="s">
        <v>247</v>
      </c>
      <c r="E69" s="168">
        <v>1E-3</v>
      </c>
      <c r="F69" s="168">
        <v>1E-3</v>
      </c>
      <c r="G69" s="85">
        <v>0</v>
      </c>
      <c r="H69" s="174"/>
      <c r="J69" s="175"/>
      <c r="K69" s="200" t="s">
        <v>234</v>
      </c>
      <c r="L69" s="201" t="s">
        <v>235</v>
      </c>
      <c r="M69" s="202">
        <v>0.02</v>
      </c>
      <c r="N69" s="202">
        <v>8.0000000000000002E-3</v>
      </c>
      <c r="O69" s="203">
        <v>1.2E-2</v>
      </c>
      <c r="P69" s="174"/>
    </row>
    <row r="70" spans="1:16" ht="11.5">
      <c r="A70" s="1"/>
      <c r="B70" s="175"/>
      <c r="C70" s="84" t="s">
        <v>248</v>
      </c>
      <c r="D70" s="84" t="s">
        <v>249</v>
      </c>
      <c r="E70" s="167">
        <v>4.5999999999999999E-2</v>
      </c>
      <c r="F70" s="167">
        <v>4.5999999999999999E-2</v>
      </c>
      <c r="G70" s="85">
        <v>0</v>
      </c>
      <c r="H70" s="174"/>
      <c r="J70" s="175"/>
      <c r="K70" s="200" t="s">
        <v>136</v>
      </c>
      <c r="L70" s="201" t="s">
        <v>137</v>
      </c>
      <c r="M70" s="202">
        <v>1.7999999999999999E-2</v>
      </c>
      <c r="N70" s="202">
        <v>1.9E-2</v>
      </c>
      <c r="O70" s="203">
        <v>-1E-3</v>
      </c>
      <c r="P70" s="174"/>
    </row>
    <row r="71" spans="1:16" ht="11.5">
      <c r="A71" s="1"/>
      <c r="B71" s="175"/>
      <c r="C71" s="84" t="s">
        <v>244</v>
      </c>
      <c r="D71" s="84" t="s">
        <v>245</v>
      </c>
      <c r="E71" s="168">
        <v>2.4E-2</v>
      </c>
      <c r="F71" s="168">
        <v>1.9E-2</v>
      </c>
      <c r="G71" s="168">
        <v>5.0000000000000001E-3</v>
      </c>
      <c r="H71" s="174"/>
      <c r="J71" s="175"/>
      <c r="K71" s="200" t="s">
        <v>242</v>
      </c>
      <c r="L71" s="201" t="s">
        <v>243</v>
      </c>
      <c r="M71" s="202">
        <v>1.6E-2</v>
      </c>
      <c r="N71" s="202">
        <v>1.4999999999999999E-2</v>
      </c>
      <c r="O71" s="203">
        <v>1E-3</v>
      </c>
      <c r="P71" s="174"/>
    </row>
    <row r="72" spans="1:16" ht="11.5">
      <c r="A72" s="1"/>
      <c r="B72" s="175"/>
      <c r="C72" s="84" t="s">
        <v>146</v>
      </c>
      <c r="D72" s="84" t="s">
        <v>147</v>
      </c>
      <c r="E72" s="168">
        <v>0.50700000000000001</v>
      </c>
      <c r="F72" s="167">
        <v>0.505</v>
      </c>
      <c r="G72" s="168">
        <v>2E-3</v>
      </c>
      <c r="H72" s="174"/>
      <c r="J72" s="175"/>
      <c r="K72" s="200" t="s">
        <v>176</v>
      </c>
      <c r="L72" s="201" t="s">
        <v>177</v>
      </c>
      <c r="M72" s="202">
        <v>1.0999999999999999E-2</v>
      </c>
      <c r="N72" s="202">
        <v>1E-3</v>
      </c>
      <c r="O72" s="203">
        <v>8.9999999999999993E-3</v>
      </c>
      <c r="P72" s="174"/>
    </row>
    <row r="73" spans="1:16" ht="11.5">
      <c r="A73" s="1"/>
      <c r="B73" s="175"/>
      <c r="C73" s="84" t="s">
        <v>192</v>
      </c>
      <c r="D73" s="84" t="s">
        <v>193</v>
      </c>
      <c r="E73" s="168">
        <v>0.13300000000000001</v>
      </c>
      <c r="F73" s="168">
        <v>0.13300000000000001</v>
      </c>
      <c r="G73" s="85">
        <v>0</v>
      </c>
      <c r="H73" s="174"/>
      <c r="J73" s="175"/>
      <c r="K73" s="200" t="s">
        <v>240</v>
      </c>
      <c r="L73" s="201" t="s">
        <v>241</v>
      </c>
      <c r="M73" s="202">
        <v>8.9999999999999993E-3</v>
      </c>
      <c r="N73" s="202">
        <v>8.0000000000000002E-3</v>
      </c>
      <c r="O73" s="203">
        <v>1E-3</v>
      </c>
      <c r="P73" s="174"/>
    </row>
    <row r="74" spans="1:16" ht="11.5">
      <c r="A74" s="1"/>
      <c r="B74" s="175"/>
      <c r="C74" s="84" t="s">
        <v>168</v>
      </c>
      <c r="D74" s="84" t="s">
        <v>169</v>
      </c>
      <c r="E74" s="168">
        <v>0.28999999999999998</v>
      </c>
      <c r="F74" s="168">
        <v>0.28999999999999998</v>
      </c>
      <c r="G74" s="85">
        <v>0</v>
      </c>
      <c r="H74" s="174"/>
      <c r="J74" s="175"/>
      <c r="K74" s="200" t="s">
        <v>250</v>
      </c>
      <c r="L74" s="201" t="s">
        <v>251</v>
      </c>
      <c r="M74" s="202">
        <v>8.0000000000000002E-3</v>
      </c>
      <c r="N74" s="202">
        <v>7.0000000000000001E-3</v>
      </c>
      <c r="O74" s="203">
        <v>1E-3</v>
      </c>
      <c r="P74" s="174"/>
    </row>
    <row r="75" spans="1:16" ht="11.5">
      <c r="A75" s="1"/>
      <c r="B75" s="175"/>
      <c r="C75" s="84" t="s">
        <v>200</v>
      </c>
      <c r="D75" s="84" t="s">
        <v>201</v>
      </c>
      <c r="E75" s="168">
        <v>0.113</v>
      </c>
      <c r="F75" s="168">
        <v>0.113</v>
      </c>
      <c r="G75" s="85">
        <v>0</v>
      </c>
      <c r="H75" s="174"/>
      <c r="J75" s="175"/>
      <c r="K75" s="200" t="s">
        <v>204</v>
      </c>
      <c r="L75" s="201" t="s">
        <v>205</v>
      </c>
      <c r="M75" s="202">
        <v>6.0000000000000001E-3</v>
      </c>
      <c r="N75" s="202">
        <v>8.9999999999999993E-3</v>
      </c>
      <c r="O75" s="203">
        <v>-3.0000000000000001E-3</v>
      </c>
      <c r="P75" s="174"/>
    </row>
    <row r="76" spans="1:16" ht="11.5">
      <c r="A76" s="1"/>
      <c r="B76" s="175"/>
      <c r="C76" s="84" t="s">
        <v>216</v>
      </c>
      <c r="D76" s="84" t="s">
        <v>217</v>
      </c>
      <c r="E76" s="168">
        <v>5.6000000000000001E-2</v>
      </c>
      <c r="F76" s="168">
        <v>5.2999999999999999E-2</v>
      </c>
      <c r="G76" s="168">
        <v>3.0000000000000001E-3</v>
      </c>
      <c r="H76" s="174"/>
      <c r="J76" s="175"/>
      <c r="K76" s="200" t="s">
        <v>230</v>
      </c>
      <c r="L76" s="201" t="s">
        <v>231</v>
      </c>
      <c r="M76" s="202">
        <v>5.0000000000000001E-3</v>
      </c>
      <c r="N76" s="202">
        <v>5.0000000000000001E-3</v>
      </c>
      <c r="O76" s="203">
        <v>0</v>
      </c>
      <c r="P76" s="174"/>
    </row>
    <row r="77" spans="1:16" ht="11.5">
      <c r="A77" s="1"/>
      <c r="B77" s="175"/>
      <c r="C77" s="84" t="s">
        <v>226</v>
      </c>
      <c r="D77" s="84" t="s">
        <v>227</v>
      </c>
      <c r="E77" s="168">
        <v>4.5999999999999999E-2</v>
      </c>
      <c r="F77" s="168">
        <v>4.5999999999999999E-2</v>
      </c>
      <c r="G77" s="85">
        <v>0</v>
      </c>
      <c r="H77" s="174"/>
      <c r="J77" s="175"/>
      <c r="K77" s="200" t="s">
        <v>156</v>
      </c>
      <c r="L77" s="201" t="s">
        <v>157</v>
      </c>
      <c r="M77" s="202">
        <v>4.0000000000000001E-3</v>
      </c>
      <c r="N77" s="202">
        <v>5.0000000000000001E-3</v>
      </c>
      <c r="O77" s="203">
        <v>-2E-3</v>
      </c>
      <c r="P77" s="174"/>
    </row>
    <row r="78" spans="1:16" ht="11.5">
      <c r="A78" s="1"/>
      <c r="B78" s="175"/>
      <c r="C78" s="84" t="s">
        <v>232</v>
      </c>
      <c r="D78" s="84" t="s">
        <v>233</v>
      </c>
      <c r="E78" s="168">
        <v>3.4000000000000002E-2</v>
      </c>
      <c r="F78" s="168">
        <v>3.4000000000000002E-2</v>
      </c>
      <c r="G78" s="85">
        <v>0</v>
      </c>
      <c r="H78" s="174"/>
      <c r="J78" s="175"/>
      <c r="K78" s="200" t="s">
        <v>214</v>
      </c>
      <c r="L78" s="201" t="s">
        <v>215</v>
      </c>
      <c r="M78" s="202">
        <v>3.0000000000000001E-3</v>
      </c>
      <c r="N78" s="202">
        <v>3.0000000000000001E-3</v>
      </c>
      <c r="O78" s="203">
        <v>0</v>
      </c>
      <c r="P78" s="174"/>
    </row>
    <row r="79" spans="1:16" ht="11.5">
      <c r="A79" s="1"/>
      <c r="B79" s="175"/>
      <c r="C79" s="84" t="s">
        <v>250</v>
      </c>
      <c r="D79" s="84" t="s">
        <v>251</v>
      </c>
      <c r="E79" s="168">
        <v>8.0000000000000002E-3</v>
      </c>
      <c r="F79" s="168">
        <v>7.0000000000000001E-3</v>
      </c>
      <c r="G79" s="168">
        <v>1E-3</v>
      </c>
      <c r="H79" s="174"/>
      <c r="J79" s="175"/>
      <c r="K79" s="200" t="s">
        <v>238</v>
      </c>
      <c r="L79" s="201" t="s">
        <v>239</v>
      </c>
      <c r="M79" s="202">
        <v>1E-3</v>
      </c>
      <c r="N79" s="202">
        <v>0</v>
      </c>
      <c r="O79" s="203">
        <v>0</v>
      </c>
      <c r="P79" s="174"/>
    </row>
    <row r="80" spans="1:16" ht="11.5">
      <c r="A80" s="1"/>
      <c r="B80" s="175"/>
      <c r="C80" s="84" t="s">
        <v>224</v>
      </c>
      <c r="D80" s="84" t="s">
        <v>225</v>
      </c>
      <c r="E80" s="168">
        <v>5.2999999999999999E-2</v>
      </c>
      <c r="F80" s="168">
        <v>5.2999999999999999E-2</v>
      </c>
      <c r="G80" s="85">
        <v>0</v>
      </c>
      <c r="H80" s="174"/>
      <c r="J80" s="175"/>
      <c r="K80" s="200" t="s">
        <v>246</v>
      </c>
      <c r="L80" s="201" t="s">
        <v>247</v>
      </c>
      <c r="M80" s="202">
        <v>1E-3</v>
      </c>
      <c r="N80" s="202">
        <v>1E-3</v>
      </c>
      <c r="O80" s="203">
        <v>0</v>
      </c>
      <c r="P80" s="174"/>
    </row>
    <row r="81" spans="1:16" ht="11.5">
      <c r="A81" s="1"/>
      <c r="B81" s="175"/>
      <c r="C81" s="84" t="s">
        <v>252</v>
      </c>
      <c r="D81" s="84" t="s">
        <v>253</v>
      </c>
      <c r="E81" s="168">
        <v>1E-3</v>
      </c>
      <c r="F81" s="168">
        <v>1E-3</v>
      </c>
      <c r="G81" s="85">
        <v>0</v>
      </c>
      <c r="H81" s="174"/>
      <c r="J81" s="175"/>
      <c r="K81" s="200" t="s">
        <v>252</v>
      </c>
      <c r="L81" s="201" t="s">
        <v>253</v>
      </c>
      <c r="M81" s="202">
        <v>1E-3</v>
      </c>
      <c r="N81" s="202">
        <v>1E-3</v>
      </c>
      <c r="O81" s="203">
        <v>0</v>
      </c>
      <c r="P81" s="174"/>
    </row>
    <row r="82" spans="1:16" ht="11.5">
      <c r="A82" s="1"/>
      <c r="B82" s="175"/>
      <c r="C82" s="173"/>
      <c r="D82" s="173"/>
      <c r="E82" s="173"/>
      <c r="F82" s="173"/>
      <c r="G82" s="173"/>
      <c r="H82" s="174"/>
      <c r="J82" s="175"/>
      <c r="K82" s="173"/>
      <c r="L82" s="173"/>
      <c r="M82" s="173"/>
      <c r="N82" s="173"/>
      <c r="O82" s="173"/>
      <c r="P82" s="174"/>
    </row>
    <row r="83" spans="1:16" ht="11.5">
      <c r="A83" s="1"/>
      <c r="B83" s="175"/>
      <c r="C83" s="11" t="s">
        <v>38</v>
      </c>
      <c r="D83" s="173"/>
      <c r="E83" s="173"/>
      <c r="F83" s="173"/>
      <c r="G83" s="173"/>
      <c r="H83" s="174"/>
      <c r="J83" s="175"/>
      <c r="K83" s="11" t="s">
        <v>38</v>
      </c>
      <c r="L83" s="173"/>
      <c r="M83" s="173"/>
      <c r="N83" s="173"/>
      <c r="O83" s="173"/>
      <c r="P83" s="174"/>
    </row>
    <row r="84" spans="1:16" ht="11.5">
      <c r="A84" s="1"/>
      <c r="B84" s="175"/>
      <c r="C84" s="11" t="s">
        <v>36</v>
      </c>
      <c r="D84" s="11" t="s">
        <v>39</v>
      </c>
      <c r="E84" s="173"/>
      <c r="F84" s="173"/>
      <c r="G84" s="173"/>
      <c r="H84" s="174"/>
      <c r="J84" s="175"/>
      <c r="K84" s="11" t="s">
        <v>36</v>
      </c>
      <c r="L84" s="11" t="s">
        <v>39</v>
      </c>
      <c r="M84" s="173"/>
      <c r="N84" s="173"/>
      <c r="O84" s="173"/>
      <c r="P84" s="174"/>
    </row>
    <row r="85" spans="1:16" ht="11.5">
      <c r="A85" s="1"/>
      <c r="B85" s="175"/>
      <c r="C85" s="173"/>
      <c r="D85" s="173"/>
      <c r="E85" s="173"/>
      <c r="F85" s="173"/>
      <c r="G85" s="173"/>
      <c r="H85" s="174"/>
      <c r="J85" s="175"/>
      <c r="K85" s="173"/>
      <c r="L85" s="173"/>
      <c r="M85" s="173"/>
      <c r="N85" s="173"/>
      <c r="O85" s="173"/>
      <c r="P85" s="174"/>
    </row>
    <row r="86" spans="1:16" ht="11.5">
      <c r="A86" s="1"/>
      <c r="B86" s="175"/>
      <c r="C86" s="11" t="s">
        <v>15</v>
      </c>
      <c r="D86" s="11" t="s">
        <v>303</v>
      </c>
      <c r="E86" s="173"/>
      <c r="F86" s="173"/>
      <c r="G86" s="173"/>
      <c r="H86" s="174"/>
      <c r="J86" s="175"/>
      <c r="K86" s="11" t="str">
        <f>C86</f>
        <v>GEO</v>
      </c>
      <c r="L86" s="11" t="str">
        <f>D86</f>
        <v>EU27_2020 - European Union - 27 countries (from 2020)</v>
      </c>
      <c r="M86" s="173"/>
      <c r="N86" s="173"/>
      <c r="O86" s="173"/>
      <c r="P86" s="174"/>
    </row>
    <row r="87" spans="1:16" ht="11.5">
      <c r="A87" s="1"/>
      <c r="B87" s="175"/>
      <c r="C87" s="11" t="s">
        <v>13</v>
      </c>
      <c r="D87" s="11" t="s">
        <v>114</v>
      </c>
      <c r="E87" s="173"/>
      <c r="F87" s="173"/>
      <c r="G87" s="173"/>
      <c r="H87" s="174"/>
      <c r="J87" s="175"/>
      <c r="K87" s="11" t="str">
        <f t="shared" ref="K87:K89" si="4">C87</f>
        <v>UNIT</v>
      </c>
      <c r="L87" s="11" t="str">
        <f t="shared" ref="L87:L89" si="5">D87</f>
        <v>Tonnes per capita</v>
      </c>
      <c r="M87" s="173"/>
      <c r="N87" s="173"/>
      <c r="O87" s="173"/>
      <c r="P87" s="174"/>
    </row>
    <row r="88" spans="1:16" ht="11.5">
      <c r="A88" s="1"/>
      <c r="B88" s="175"/>
      <c r="C88" s="11" t="s">
        <v>118</v>
      </c>
      <c r="D88" s="219">
        <f>Cover!C1</f>
        <v>2019</v>
      </c>
      <c r="E88" s="173"/>
      <c r="F88" s="173"/>
      <c r="G88" s="173"/>
      <c r="H88" s="174"/>
      <c r="J88" s="175"/>
      <c r="K88" s="11" t="str">
        <f t="shared" si="4"/>
        <v>TIME</v>
      </c>
      <c r="L88" s="219">
        <f t="shared" si="5"/>
        <v>2019</v>
      </c>
      <c r="M88" s="173"/>
      <c r="N88" s="173"/>
      <c r="O88" s="173"/>
      <c r="P88" s="174"/>
    </row>
    <row r="89" spans="1:16" ht="11.5">
      <c r="A89" s="1"/>
      <c r="B89" s="175"/>
      <c r="C89" s="11" t="s">
        <v>78</v>
      </c>
      <c r="D89" s="11" t="s">
        <v>254</v>
      </c>
      <c r="E89" s="173"/>
      <c r="F89" s="173"/>
      <c r="G89" s="173"/>
      <c r="H89" s="174"/>
      <c r="J89" s="175"/>
      <c r="K89" s="11" t="str">
        <f t="shared" si="4"/>
        <v>MATERIAL</v>
      </c>
      <c r="L89" s="11" t="str">
        <f t="shared" si="5"/>
        <v>MF1 - Biomass</v>
      </c>
      <c r="M89" s="173"/>
      <c r="N89" s="173"/>
      <c r="O89" s="173"/>
      <c r="P89" s="174"/>
    </row>
    <row r="90" spans="1:16" ht="11.5">
      <c r="A90" s="1"/>
      <c r="B90" s="175"/>
      <c r="C90" s="173"/>
      <c r="D90" s="173"/>
      <c r="E90" s="173"/>
      <c r="F90" s="173"/>
      <c r="G90" s="173"/>
      <c r="H90" s="174"/>
      <c r="J90" s="175"/>
      <c r="K90" s="173"/>
      <c r="L90" s="173"/>
      <c r="M90" s="173"/>
      <c r="N90" s="173"/>
      <c r="O90" s="173"/>
      <c r="P90" s="174"/>
    </row>
    <row r="91" spans="1:16" ht="11.5">
      <c r="A91" s="1"/>
      <c r="B91" s="175"/>
      <c r="C91" s="84" t="s">
        <v>120</v>
      </c>
      <c r="D91" s="84" t="s">
        <v>115</v>
      </c>
      <c r="E91" s="84" t="s">
        <v>93</v>
      </c>
      <c r="F91" s="84" t="s">
        <v>121</v>
      </c>
      <c r="G91" s="84" t="s">
        <v>122</v>
      </c>
      <c r="H91" s="174"/>
      <c r="J91" s="175"/>
      <c r="K91" s="196" t="s">
        <v>120</v>
      </c>
      <c r="L91" s="198" t="str">
        <f t="shared" ref="L91:O91" si="6">D91</f>
        <v>INDIC_ENV</v>
      </c>
      <c r="M91" s="198" t="str">
        <f t="shared" si="6"/>
        <v>RMC</v>
      </c>
      <c r="N91" s="198" t="str">
        <f t="shared" si="6"/>
        <v>RMC_P3</v>
      </c>
      <c r="O91" s="198" t="str">
        <f t="shared" si="6"/>
        <v>RMC_P5</v>
      </c>
      <c r="P91" s="174"/>
    </row>
    <row r="92" spans="1:16" ht="11.5">
      <c r="A92" s="1"/>
      <c r="B92" s="175"/>
      <c r="C92" s="84" t="s">
        <v>123</v>
      </c>
      <c r="D92" s="84" t="s">
        <v>124</v>
      </c>
      <c r="E92" s="84" t="s">
        <v>113</v>
      </c>
      <c r="F92" s="84" t="s">
        <v>125</v>
      </c>
      <c r="G92" s="84" t="s">
        <v>126</v>
      </c>
      <c r="H92" s="174"/>
      <c r="J92" s="175"/>
      <c r="K92" s="197" t="str">
        <f t="shared" ref="K92:O93" si="7">C92</f>
        <v>CPA08</v>
      </c>
      <c r="L92" s="199" t="str">
        <f t="shared" si="7"/>
        <v>CPA08(L)/INDIC_ENV(L)</v>
      </c>
      <c r="M92" s="199" t="str">
        <f t="shared" si="7"/>
        <v xml:space="preserve">Raw material consumption </v>
      </c>
      <c r="N92" s="199" t="str">
        <f t="shared" si="7"/>
        <v>Raw material consumption as result of final consumption expenditure</v>
      </c>
      <c r="O92" s="199" t="str">
        <f t="shared" si="7"/>
        <v xml:space="preserve">Raw material consumption as result of gross capital formation </v>
      </c>
      <c r="P92" s="174"/>
    </row>
    <row r="93" spans="1:16" ht="11.5">
      <c r="A93" s="1"/>
      <c r="B93" s="175"/>
      <c r="C93" s="84" t="s">
        <v>82</v>
      </c>
      <c r="D93" s="84" t="s">
        <v>127</v>
      </c>
      <c r="E93" s="168">
        <v>3.1859999999999999</v>
      </c>
      <c r="F93" s="168">
        <v>2.5779999999999998</v>
      </c>
      <c r="G93" s="168">
        <v>0.60799999999999998</v>
      </c>
      <c r="H93" s="174"/>
      <c r="J93" s="175"/>
      <c r="K93" s="200" t="str">
        <f t="shared" si="7"/>
        <v>TOTAL</v>
      </c>
      <c r="L93" s="200" t="str">
        <f t="shared" si="7"/>
        <v>Total CPA products</v>
      </c>
      <c r="M93" s="202">
        <f t="shared" si="7"/>
        <v>3.1859999999999999</v>
      </c>
      <c r="N93" s="202">
        <f t="shared" si="7"/>
        <v>2.5779999999999998</v>
      </c>
      <c r="O93" s="202">
        <f t="shared" si="7"/>
        <v>0.60799999999999998</v>
      </c>
      <c r="P93" s="174"/>
    </row>
    <row r="94" spans="1:16" ht="11.5">
      <c r="A94" s="1"/>
      <c r="B94" s="175"/>
      <c r="C94" s="84" t="s">
        <v>128</v>
      </c>
      <c r="D94" s="84" t="s">
        <v>129</v>
      </c>
      <c r="E94" s="168">
        <v>0.63600000000000001</v>
      </c>
      <c r="F94" s="167">
        <v>0.48899999999999999</v>
      </c>
      <c r="G94" s="168">
        <v>0.14699999999999999</v>
      </c>
      <c r="H94" s="174"/>
      <c r="J94" s="175"/>
      <c r="K94" s="201" t="s">
        <v>134</v>
      </c>
      <c r="L94" s="201" t="s">
        <v>135</v>
      </c>
      <c r="M94" s="203">
        <v>1.0349999999999999</v>
      </c>
      <c r="N94" s="203">
        <v>0.99399999999999999</v>
      </c>
      <c r="O94" s="203">
        <v>0.04</v>
      </c>
      <c r="P94" s="174"/>
    </row>
    <row r="95" spans="1:16" ht="11.5">
      <c r="A95" s="1"/>
      <c r="B95" s="175"/>
      <c r="C95" s="84" t="s">
        <v>132</v>
      </c>
      <c r="D95" s="84" t="s">
        <v>133</v>
      </c>
      <c r="E95" s="168">
        <v>0.223</v>
      </c>
      <c r="F95" s="168">
        <v>0.125</v>
      </c>
      <c r="G95" s="168">
        <v>9.7000000000000003E-2</v>
      </c>
      <c r="H95" s="174"/>
      <c r="J95" s="175"/>
      <c r="K95" s="201" t="s">
        <v>128</v>
      </c>
      <c r="L95" s="201" t="s">
        <v>129</v>
      </c>
      <c r="M95" s="203">
        <v>0.63600000000000001</v>
      </c>
      <c r="N95" s="203">
        <v>0.48899999999999999</v>
      </c>
      <c r="O95" s="203">
        <v>0.14699999999999999</v>
      </c>
      <c r="P95" s="174"/>
    </row>
    <row r="96" spans="1:16" ht="11.5">
      <c r="A96" s="1"/>
      <c r="B96" s="175"/>
      <c r="C96" s="84" t="s">
        <v>136</v>
      </c>
      <c r="D96" s="84" t="s">
        <v>137</v>
      </c>
      <c r="E96" s="168">
        <v>0.01</v>
      </c>
      <c r="F96" s="167">
        <v>1.0999999999999999E-2</v>
      </c>
      <c r="G96" s="168">
        <v>0</v>
      </c>
      <c r="H96" s="174"/>
      <c r="J96" s="175"/>
      <c r="K96" s="201" t="s">
        <v>142</v>
      </c>
      <c r="L96" s="201" t="s">
        <v>143</v>
      </c>
      <c r="M96" s="203">
        <v>0.23699999999999999</v>
      </c>
      <c r="N96" s="203">
        <v>0.23699999999999999</v>
      </c>
      <c r="O96" s="203">
        <v>0</v>
      </c>
      <c r="P96" s="174"/>
    </row>
    <row r="97" spans="1:16" ht="11.5">
      <c r="A97" s="1"/>
      <c r="B97" s="175"/>
      <c r="C97" s="84" t="s">
        <v>138</v>
      </c>
      <c r="D97" s="84" t="s">
        <v>139</v>
      </c>
      <c r="E97" s="168">
        <v>1E-3</v>
      </c>
      <c r="F97" s="168">
        <v>1E-3</v>
      </c>
      <c r="G97" s="85">
        <v>0</v>
      </c>
      <c r="H97" s="174"/>
      <c r="J97" s="175"/>
      <c r="K97" s="201" t="s">
        <v>132</v>
      </c>
      <c r="L97" s="201" t="s">
        <v>133</v>
      </c>
      <c r="M97" s="203">
        <v>0.223</v>
      </c>
      <c r="N97" s="203">
        <v>0.125</v>
      </c>
      <c r="O97" s="203">
        <v>9.7000000000000003E-2</v>
      </c>
      <c r="P97" s="174"/>
    </row>
    <row r="98" spans="1:16" ht="11.5">
      <c r="A98" s="1"/>
      <c r="B98" s="175"/>
      <c r="C98" s="84" t="s">
        <v>134</v>
      </c>
      <c r="D98" s="84" t="s">
        <v>135</v>
      </c>
      <c r="E98" s="168">
        <v>1.0349999999999999</v>
      </c>
      <c r="F98" s="168">
        <v>0.99399999999999999</v>
      </c>
      <c r="G98" s="168">
        <v>0.04</v>
      </c>
      <c r="H98" s="174"/>
      <c r="J98" s="175"/>
      <c r="K98" s="201" t="s">
        <v>130</v>
      </c>
      <c r="L98" s="201" t="s">
        <v>131</v>
      </c>
      <c r="M98" s="203">
        <v>0.14000000000000001</v>
      </c>
      <c r="N98" s="203">
        <v>7.0000000000000001E-3</v>
      </c>
      <c r="O98" s="203">
        <v>0.13400000000000001</v>
      </c>
      <c r="P98" s="174"/>
    </row>
    <row r="99" spans="1:16" ht="11.5">
      <c r="A99" s="1"/>
      <c r="B99" s="175"/>
      <c r="C99" s="84" t="s">
        <v>144</v>
      </c>
      <c r="D99" s="84" t="s">
        <v>145</v>
      </c>
      <c r="E99" s="168">
        <v>0.04</v>
      </c>
      <c r="F99" s="168">
        <v>3.5000000000000003E-2</v>
      </c>
      <c r="G99" s="85">
        <v>4.0000000000000001E-3</v>
      </c>
      <c r="H99" s="174"/>
      <c r="J99" s="175"/>
      <c r="K99" s="201" t="s">
        <v>164</v>
      </c>
      <c r="L99" s="201" t="s">
        <v>165</v>
      </c>
      <c r="M99" s="203">
        <v>0.106</v>
      </c>
      <c r="N99" s="203">
        <v>8.2000000000000003E-2</v>
      </c>
      <c r="O99" s="203">
        <v>2.3E-2</v>
      </c>
      <c r="P99" s="174"/>
    </row>
    <row r="100" spans="1:16" ht="11.5">
      <c r="A100" s="1"/>
      <c r="B100" s="175"/>
      <c r="C100" s="84" t="s">
        <v>148</v>
      </c>
      <c r="D100" s="84" t="s">
        <v>149</v>
      </c>
      <c r="E100" s="167">
        <v>3.5999999999999997E-2</v>
      </c>
      <c r="F100" s="168">
        <v>1.9E-2</v>
      </c>
      <c r="G100" s="168">
        <v>1.7000000000000001E-2</v>
      </c>
      <c r="H100" s="174"/>
      <c r="J100" s="175"/>
      <c r="K100" s="201" t="s">
        <v>178</v>
      </c>
      <c r="L100" s="201" t="s">
        <v>179</v>
      </c>
      <c r="M100" s="203">
        <v>9.8000000000000004E-2</v>
      </c>
      <c r="N100" s="203">
        <v>9.1999999999999998E-2</v>
      </c>
      <c r="O100" s="203">
        <v>6.0000000000000001E-3</v>
      </c>
      <c r="P100" s="174"/>
    </row>
    <row r="101" spans="1:16" ht="11.5">
      <c r="A101" s="1"/>
      <c r="B101" s="175"/>
      <c r="C101" s="84" t="s">
        <v>152</v>
      </c>
      <c r="D101" s="84" t="s">
        <v>153</v>
      </c>
      <c r="E101" s="168">
        <v>1.6E-2</v>
      </c>
      <c r="F101" s="168">
        <v>0.02</v>
      </c>
      <c r="G101" s="168">
        <v>-4.0000000000000001E-3</v>
      </c>
      <c r="H101" s="174"/>
      <c r="J101" s="175"/>
      <c r="K101" s="201" t="s">
        <v>168</v>
      </c>
      <c r="L101" s="201" t="s">
        <v>169</v>
      </c>
      <c r="M101" s="203">
        <v>6.7000000000000004E-2</v>
      </c>
      <c r="N101" s="203">
        <v>6.7000000000000004E-2</v>
      </c>
      <c r="O101" s="203">
        <v>0</v>
      </c>
      <c r="P101" s="174"/>
    </row>
    <row r="102" spans="1:16" ht="11.5">
      <c r="A102" s="1"/>
      <c r="B102" s="175"/>
      <c r="C102" s="84" t="s">
        <v>156</v>
      </c>
      <c r="D102" s="84" t="s">
        <v>157</v>
      </c>
      <c r="E102" s="168">
        <v>1E-3</v>
      </c>
      <c r="F102" s="168">
        <v>1E-3</v>
      </c>
      <c r="G102" s="85">
        <v>0</v>
      </c>
      <c r="H102" s="174"/>
      <c r="J102" s="175"/>
      <c r="K102" s="201" t="s">
        <v>182</v>
      </c>
      <c r="L102" s="201" t="s">
        <v>183</v>
      </c>
      <c r="M102" s="203">
        <v>5.1999999999999998E-2</v>
      </c>
      <c r="N102" s="203">
        <v>3.5000000000000003E-2</v>
      </c>
      <c r="O102" s="203">
        <v>1.7000000000000001E-2</v>
      </c>
      <c r="P102" s="174"/>
    </row>
    <row r="103" spans="1:16" ht="11.5">
      <c r="A103" s="1"/>
      <c r="B103" s="175"/>
      <c r="C103" s="84" t="s">
        <v>160</v>
      </c>
      <c r="D103" s="84" t="s">
        <v>161</v>
      </c>
      <c r="E103" s="168">
        <v>7.0000000000000001E-3</v>
      </c>
      <c r="F103" s="168">
        <v>7.0000000000000001E-3</v>
      </c>
      <c r="G103" s="85">
        <v>0</v>
      </c>
      <c r="H103" s="174"/>
      <c r="J103" s="175"/>
      <c r="K103" s="201" t="s">
        <v>150</v>
      </c>
      <c r="L103" s="201" t="s">
        <v>151</v>
      </c>
      <c r="M103" s="203">
        <v>5.1999999999999998E-2</v>
      </c>
      <c r="N103" s="203">
        <v>5.0999999999999997E-2</v>
      </c>
      <c r="O103" s="203">
        <v>1E-3</v>
      </c>
      <c r="P103" s="174"/>
    </row>
    <row r="104" spans="1:16" ht="11.5">
      <c r="A104" s="1"/>
      <c r="B104" s="175"/>
      <c r="C104" s="84" t="s">
        <v>162</v>
      </c>
      <c r="D104" s="84" t="s">
        <v>163</v>
      </c>
      <c r="E104" s="168">
        <v>7.0000000000000001E-3</v>
      </c>
      <c r="F104" s="168">
        <v>6.0000000000000001E-3</v>
      </c>
      <c r="G104" s="168">
        <v>0</v>
      </c>
      <c r="H104" s="174"/>
      <c r="J104" s="175"/>
      <c r="K104" s="201" t="s">
        <v>188</v>
      </c>
      <c r="L104" s="201" t="s">
        <v>189</v>
      </c>
      <c r="M104" s="203">
        <v>4.4999999999999998E-2</v>
      </c>
      <c r="N104" s="203">
        <v>5.0000000000000001E-3</v>
      </c>
      <c r="O104" s="203">
        <v>0.04</v>
      </c>
      <c r="P104" s="174"/>
    </row>
    <row r="105" spans="1:16" ht="11.5">
      <c r="A105" s="1"/>
      <c r="B105" s="175"/>
      <c r="C105" s="84" t="s">
        <v>166</v>
      </c>
      <c r="D105" s="84" t="s">
        <v>167</v>
      </c>
      <c r="E105" s="167">
        <v>1.4999999999999999E-2</v>
      </c>
      <c r="F105" s="168">
        <v>1.9E-2</v>
      </c>
      <c r="G105" s="168">
        <v>-4.0000000000000001E-3</v>
      </c>
      <c r="H105" s="174"/>
      <c r="J105" s="175"/>
      <c r="K105" s="201" t="s">
        <v>146</v>
      </c>
      <c r="L105" s="201" t="s">
        <v>147</v>
      </c>
      <c r="M105" s="203">
        <v>4.2999999999999997E-2</v>
      </c>
      <c r="N105" s="203">
        <v>4.2999999999999997E-2</v>
      </c>
      <c r="O105" s="203">
        <v>0</v>
      </c>
      <c r="P105" s="174"/>
    </row>
    <row r="106" spans="1:16" ht="11.5">
      <c r="A106" s="1"/>
      <c r="B106" s="175"/>
      <c r="C106" s="84" t="s">
        <v>170</v>
      </c>
      <c r="D106" s="84" t="s">
        <v>171</v>
      </c>
      <c r="E106" s="168">
        <v>4.0000000000000001E-3</v>
      </c>
      <c r="F106" s="168">
        <v>3.0000000000000001E-3</v>
      </c>
      <c r="G106" s="168">
        <v>1E-3</v>
      </c>
      <c r="H106" s="174"/>
      <c r="J106" s="175"/>
      <c r="K106" s="201" t="s">
        <v>144</v>
      </c>
      <c r="L106" s="201" t="s">
        <v>145</v>
      </c>
      <c r="M106" s="203">
        <v>0.04</v>
      </c>
      <c r="N106" s="203">
        <v>3.5000000000000003E-2</v>
      </c>
      <c r="O106" s="203">
        <v>4.0000000000000001E-3</v>
      </c>
      <c r="P106" s="174"/>
    </row>
    <row r="107" spans="1:16" ht="11.5">
      <c r="A107" s="1"/>
      <c r="B107" s="175"/>
      <c r="C107" s="84" t="s">
        <v>172</v>
      </c>
      <c r="D107" s="84" t="s">
        <v>173</v>
      </c>
      <c r="E107" s="168">
        <v>2E-3</v>
      </c>
      <c r="F107" s="168">
        <v>1E-3</v>
      </c>
      <c r="G107" s="85">
        <v>0</v>
      </c>
      <c r="H107" s="174"/>
      <c r="J107" s="175"/>
      <c r="K107" s="201" t="s">
        <v>148</v>
      </c>
      <c r="L107" s="201" t="s">
        <v>149</v>
      </c>
      <c r="M107" s="203">
        <v>3.5999999999999997E-2</v>
      </c>
      <c r="N107" s="203">
        <v>1.9E-2</v>
      </c>
      <c r="O107" s="203">
        <v>1.7000000000000001E-2</v>
      </c>
      <c r="P107" s="174"/>
    </row>
    <row r="108" spans="1:16" ht="11.5">
      <c r="A108" s="1"/>
      <c r="B108" s="175"/>
      <c r="C108" s="84" t="s">
        <v>176</v>
      </c>
      <c r="D108" s="84" t="s">
        <v>177</v>
      </c>
      <c r="E108" s="85">
        <v>0</v>
      </c>
      <c r="F108" s="85">
        <v>0</v>
      </c>
      <c r="G108" s="85">
        <v>0</v>
      </c>
      <c r="H108" s="174"/>
      <c r="J108" s="175"/>
      <c r="K108" s="201" t="s">
        <v>200</v>
      </c>
      <c r="L108" s="201" t="s">
        <v>201</v>
      </c>
      <c r="M108" s="203">
        <v>3.5000000000000003E-2</v>
      </c>
      <c r="N108" s="203">
        <v>3.5000000000000003E-2</v>
      </c>
      <c r="O108" s="203">
        <v>0</v>
      </c>
      <c r="P108" s="174"/>
    </row>
    <row r="109" spans="1:16" ht="11.5">
      <c r="A109" s="1"/>
      <c r="B109" s="175"/>
      <c r="C109" s="84" t="s">
        <v>180</v>
      </c>
      <c r="D109" s="84" t="s">
        <v>181</v>
      </c>
      <c r="E109" s="168">
        <v>6.0000000000000001E-3</v>
      </c>
      <c r="F109" s="168">
        <v>1E-3</v>
      </c>
      <c r="G109" s="168">
        <v>5.0000000000000001E-3</v>
      </c>
      <c r="H109" s="174"/>
      <c r="J109" s="175"/>
      <c r="K109" s="201" t="s">
        <v>158</v>
      </c>
      <c r="L109" s="201" t="s">
        <v>159</v>
      </c>
      <c r="M109" s="203">
        <v>2.9000000000000001E-2</v>
      </c>
      <c r="N109" s="203">
        <v>1.4E-2</v>
      </c>
      <c r="O109" s="203">
        <v>1.4999999999999999E-2</v>
      </c>
      <c r="P109" s="174"/>
    </row>
    <row r="110" spans="1:16" ht="11.5">
      <c r="A110" s="1"/>
      <c r="B110" s="175"/>
      <c r="C110" s="84" t="s">
        <v>184</v>
      </c>
      <c r="D110" s="84" t="s">
        <v>185</v>
      </c>
      <c r="E110" s="168">
        <v>1.2E-2</v>
      </c>
      <c r="F110" s="168">
        <v>5.0000000000000001E-3</v>
      </c>
      <c r="G110" s="168">
        <v>8.0000000000000002E-3</v>
      </c>
      <c r="H110" s="174"/>
      <c r="J110" s="175"/>
      <c r="K110" s="201" t="s">
        <v>192</v>
      </c>
      <c r="L110" s="201" t="s">
        <v>193</v>
      </c>
      <c r="M110" s="203">
        <v>2.3E-2</v>
      </c>
      <c r="N110" s="203">
        <v>2.3E-2</v>
      </c>
      <c r="O110" s="203">
        <v>0</v>
      </c>
      <c r="P110" s="174"/>
    </row>
    <row r="111" spans="1:16" ht="11.5">
      <c r="A111" s="1"/>
      <c r="B111" s="175"/>
      <c r="C111" s="84" t="s">
        <v>186</v>
      </c>
      <c r="D111" s="84" t="s">
        <v>187</v>
      </c>
      <c r="E111" s="168">
        <v>6.0000000000000001E-3</v>
      </c>
      <c r="F111" s="168">
        <v>3.0000000000000001E-3</v>
      </c>
      <c r="G111" s="168">
        <v>3.0000000000000001E-3</v>
      </c>
      <c r="H111" s="174"/>
      <c r="J111" s="175"/>
      <c r="K111" s="201" t="s">
        <v>140</v>
      </c>
      <c r="L111" s="201" t="s">
        <v>141</v>
      </c>
      <c r="M111" s="203">
        <v>0.02</v>
      </c>
      <c r="N111" s="203">
        <v>0.02</v>
      </c>
      <c r="O111" s="203">
        <v>0</v>
      </c>
      <c r="P111" s="174"/>
    </row>
    <row r="112" spans="1:16" ht="11.5">
      <c r="A112" s="1"/>
      <c r="B112" s="175"/>
      <c r="C112" s="84" t="s">
        <v>174</v>
      </c>
      <c r="D112" s="84" t="s">
        <v>175</v>
      </c>
      <c r="E112" s="168">
        <v>1.6E-2</v>
      </c>
      <c r="F112" s="85">
        <v>0</v>
      </c>
      <c r="G112" s="168">
        <v>1.4999999999999999E-2</v>
      </c>
      <c r="H112" s="174"/>
      <c r="J112" s="175"/>
      <c r="K112" s="201" t="s">
        <v>226</v>
      </c>
      <c r="L112" s="201" t="s">
        <v>227</v>
      </c>
      <c r="M112" s="203">
        <v>1.7000000000000001E-2</v>
      </c>
      <c r="N112" s="203">
        <v>1.7000000000000001E-2</v>
      </c>
      <c r="O112" s="203">
        <v>0</v>
      </c>
      <c r="P112" s="174"/>
    </row>
    <row r="113" spans="1:16" ht="11.5">
      <c r="A113" s="1"/>
      <c r="B113" s="175"/>
      <c r="C113" s="84" t="s">
        <v>158</v>
      </c>
      <c r="D113" s="84" t="s">
        <v>159</v>
      </c>
      <c r="E113" s="168">
        <v>2.9000000000000001E-2</v>
      </c>
      <c r="F113" s="168">
        <v>1.4E-2</v>
      </c>
      <c r="G113" s="168">
        <v>1.4999999999999999E-2</v>
      </c>
      <c r="H113" s="174"/>
      <c r="J113" s="175"/>
      <c r="K113" s="201" t="s">
        <v>152</v>
      </c>
      <c r="L113" s="201" t="s">
        <v>153</v>
      </c>
      <c r="M113" s="203">
        <v>1.6E-2</v>
      </c>
      <c r="N113" s="203">
        <v>0.02</v>
      </c>
      <c r="O113" s="203">
        <v>-4.0000000000000001E-3</v>
      </c>
      <c r="P113" s="174"/>
    </row>
    <row r="114" spans="1:16" ht="11.5">
      <c r="A114" s="1"/>
      <c r="B114" s="175"/>
      <c r="C114" s="84" t="s">
        <v>190</v>
      </c>
      <c r="D114" s="84" t="s">
        <v>191</v>
      </c>
      <c r="E114" s="168">
        <v>7.0000000000000001E-3</v>
      </c>
      <c r="F114" s="168">
        <v>0</v>
      </c>
      <c r="G114" s="168">
        <v>7.0000000000000001E-3</v>
      </c>
      <c r="H114" s="174"/>
      <c r="J114" s="175"/>
      <c r="K114" s="201" t="s">
        <v>174</v>
      </c>
      <c r="L114" s="201" t="s">
        <v>175</v>
      </c>
      <c r="M114" s="203">
        <v>1.6E-2</v>
      </c>
      <c r="N114" s="203">
        <v>0</v>
      </c>
      <c r="O114" s="203">
        <v>1.4999999999999999E-2</v>
      </c>
      <c r="P114" s="174"/>
    </row>
    <row r="115" spans="1:16" ht="11.5">
      <c r="A115" s="1"/>
      <c r="B115" s="175"/>
      <c r="C115" s="84" t="s">
        <v>182</v>
      </c>
      <c r="D115" s="84" t="s">
        <v>183</v>
      </c>
      <c r="E115" s="168">
        <v>5.1999999999999998E-2</v>
      </c>
      <c r="F115" s="168">
        <v>3.5000000000000003E-2</v>
      </c>
      <c r="G115" s="168">
        <v>1.7000000000000001E-2</v>
      </c>
      <c r="H115" s="174"/>
      <c r="J115" s="175"/>
      <c r="K115" s="201" t="s">
        <v>166</v>
      </c>
      <c r="L115" s="201" t="s">
        <v>167</v>
      </c>
      <c r="M115" s="203">
        <v>1.4999999999999999E-2</v>
      </c>
      <c r="N115" s="203">
        <v>1.9E-2</v>
      </c>
      <c r="O115" s="203">
        <v>-4.0000000000000001E-3</v>
      </c>
      <c r="P115" s="174"/>
    </row>
    <row r="116" spans="1:16" ht="11.5">
      <c r="A116" s="1"/>
      <c r="B116" s="175"/>
      <c r="C116" s="84" t="s">
        <v>194</v>
      </c>
      <c r="D116" s="84" t="s">
        <v>195</v>
      </c>
      <c r="E116" s="168">
        <v>7.0000000000000001E-3</v>
      </c>
      <c r="F116" s="85">
        <v>0</v>
      </c>
      <c r="G116" s="168">
        <v>7.0000000000000001E-3</v>
      </c>
      <c r="H116" s="174"/>
      <c r="J116" s="175"/>
      <c r="K116" s="201" t="s">
        <v>210</v>
      </c>
      <c r="L116" s="201" t="s">
        <v>211</v>
      </c>
      <c r="M116" s="203">
        <v>1.2999999999999999E-2</v>
      </c>
      <c r="N116" s="203">
        <v>0</v>
      </c>
      <c r="O116" s="203">
        <v>1.2999999999999999E-2</v>
      </c>
      <c r="P116" s="174"/>
    </row>
    <row r="117" spans="1:16" ht="11.5">
      <c r="A117" s="1"/>
      <c r="B117" s="175"/>
      <c r="C117" s="84" t="s">
        <v>140</v>
      </c>
      <c r="D117" s="84" t="s">
        <v>141</v>
      </c>
      <c r="E117" s="168">
        <v>0.02</v>
      </c>
      <c r="F117" s="168">
        <v>0.02</v>
      </c>
      <c r="G117" s="85">
        <v>0</v>
      </c>
      <c r="H117" s="174"/>
      <c r="J117" s="175"/>
      <c r="K117" s="201" t="s">
        <v>216</v>
      </c>
      <c r="L117" s="201" t="s">
        <v>217</v>
      </c>
      <c r="M117" s="203">
        <v>1.2999999999999999E-2</v>
      </c>
      <c r="N117" s="203">
        <v>1.2E-2</v>
      </c>
      <c r="O117" s="203">
        <v>1E-3</v>
      </c>
      <c r="P117" s="174"/>
    </row>
    <row r="118" spans="1:16" ht="11.5">
      <c r="A118" s="1"/>
      <c r="B118" s="175"/>
      <c r="C118" s="84" t="s">
        <v>196</v>
      </c>
      <c r="D118" s="84" t="s">
        <v>197</v>
      </c>
      <c r="E118" s="168">
        <v>2E-3</v>
      </c>
      <c r="F118" s="168">
        <v>2E-3</v>
      </c>
      <c r="G118" s="85">
        <v>0</v>
      </c>
      <c r="H118" s="174"/>
      <c r="J118" s="175"/>
      <c r="K118" s="201" t="s">
        <v>184</v>
      </c>
      <c r="L118" s="201" t="s">
        <v>185</v>
      </c>
      <c r="M118" s="203">
        <v>1.2E-2</v>
      </c>
      <c r="N118" s="203">
        <v>5.0000000000000001E-3</v>
      </c>
      <c r="O118" s="203">
        <v>8.0000000000000002E-3</v>
      </c>
      <c r="P118" s="174"/>
    </row>
    <row r="119" spans="1:16" ht="11.5">
      <c r="A119" s="1"/>
      <c r="B119" s="175"/>
      <c r="C119" s="84" t="s">
        <v>198</v>
      </c>
      <c r="D119" s="84" t="s">
        <v>199</v>
      </c>
      <c r="E119" s="168">
        <v>4.0000000000000001E-3</v>
      </c>
      <c r="F119" s="168">
        <v>4.0000000000000001E-3</v>
      </c>
      <c r="G119" s="85">
        <v>0</v>
      </c>
      <c r="H119" s="174"/>
      <c r="J119" s="175"/>
      <c r="K119" s="201" t="s">
        <v>154</v>
      </c>
      <c r="L119" s="201" t="s">
        <v>155</v>
      </c>
      <c r="M119" s="203">
        <v>1.2E-2</v>
      </c>
      <c r="N119" s="203">
        <v>1.0999999999999999E-2</v>
      </c>
      <c r="O119" s="203">
        <v>0</v>
      </c>
      <c r="P119" s="174"/>
    </row>
    <row r="120" spans="1:16" ht="11.5">
      <c r="A120" s="1"/>
      <c r="B120" s="175"/>
      <c r="C120" s="84" t="s">
        <v>130</v>
      </c>
      <c r="D120" s="84" t="s">
        <v>131</v>
      </c>
      <c r="E120" s="168">
        <v>0.14000000000000001</v>
      </c>
      <c r="F120" s="168">
        <v>7.0000000000000001E-3</v>
      </c>
      <c r="G120" s="168">
        <v>0.13400000000000001</v>
      </c>
      <c r="H120" s="174"/>
      <c r="J120" s="175"/>
      <c r="K120" s="201" t="s">
        <v>248</v>
      </c>
      <c r="L120" s="201" t="s">
        <v>249</v>
      </c>
      <c r="M120" s="203">
        <v>1.0999999999999999E-2</v>
      </c>
      <c r="N120" s="203">
        <v>1.0999999999999999E-2</v>
      </c>
      <c r="O120" s="203">
        <v>0</v>
      </c>
      <c r="P120" s="174"/>
    </row>
    <row r="121" spans="1:16" ht="11.5">
      <c r="A121" s="1"/>
      <c r="B121" s="175"/>
      <c r="C121" s="84" t="s">
        <v>202</v>
      </c>
      <c r="D121" s="84" t="s">
        <v>203</v>
      </c>
      <c r="E121" s="168">
        <v>8.9999999999999993E-3</v>
      </c>
      <c r="F121" s="167">
        <v>8.0000000000000002E-3</v>
      </c>
      <c r="G121" s="168">
        <v>1E-3</v>
      </c>
      <c r="H121" s="174"/>
      <c r="J121" s="175"/>
      <c r="K121" s="201" t="s">
        <v>136</v>
      </c>
      <c r="L121" s="201" t="s">
        <v>137</v>
      </c>
      <c r="M121" s="203">
        <v>0.01</v>
      </c>
      <c r="N121" s="203">
        <v>1.0999999999999999E-2</v>
      </c>
      <c r="O121" s="203">
        <v>0</v>
      </c>
      <c r="P121" s="174"/>
    </row>
    <row r="122" spans="1:16" ht="11.5">
      <c r="A122" s="1"/>
      <c r="B122" s="175"/>
      <c r="C122" s="84" t="s">
        <v>164</v>
      </c>
      <c r="D122" s="84" t="s">
        <v>165</v>
      </c>
      <c r="E122" s="168">
        <v>0.106</v>
      </c>
      <c r="F122" s="168">
        <v>8.2000000000000003E-2</v>
      </c>
      <c r="G122" s="168">
        <v>2.3E-2</v>
      </c>
      <c r="H122" s="174"/>
      <c r="J122" s="175"/>
      <c r="K122" s="201" t="s">
        <v>202</v>
      </c>
      <c r="L122" s="201" t="s">
        <v>203</v>
      </c>
      <c r="M122" s="203">
        <v>8.9999999999999993E-3</v>
      </c>
      <c r="N122" s="203">
        <v>8.0000000000000002E-3</v>
      </c>
      <c r="O122" s="203">
        <v>1E-3</v>
      </c>
      <c r="P122" s="174"/>
    </row>
    <row r="123" spans="1:16" ht="11.5">
      <c r="A123" s="1"/>
      <c r="B123" s="175"/>
      <c r="C123" s="84" t="s">
        <v>178</v>
      </c>
      <c r="D123" s="84" t="s">
        <v>179</v>
      </c>
      <c r="E123" s="168">
        <v>9.8000000000000004E-2</v>
      </c>
      <c r="F123" s="168">
        <v>9.1999999999999998E-2</v>
      </c>
      <c r="G123" s="168">
        <v>6.0000000000000001E-3</v>
      </c>
      <c r="H123" s="174"/>
      <c r="J123" s="175"/>
      <c r="K123" s="201" t="s">
        <v>224</v>
      </c>
      <c r="L123" s="201" t="s">
        <v>225</v>
      </c>
      <c r="M123" s="203">
        <v>8.9999999999999993E-3</v>
      </c>
      <c r="N123" s="203">
        <v>8.9999999999999993E-3</v>
      </c>
      <c r="O123" s="203">
        <v>0</v>
      </c>
      <c r="P123" s="174"/>
    </row>
    <row r="124" spans="1:16" ht="11.5">
      <c r="A124" s="1"/>
      <c r="B124" s="175"/>
      <c r="C124" s="84" t="s">
        <v>154</v>
      </c>
      <c r="D124" s="84" t="s">
        <v>155</v>
      </c>
      <c r="E124" s="168">
        <v>1.2E-2</v>
      </c>
      <c r="F124" s="168">
        <v>1.0999999999999999E-2</v>
      </c>
      <c r="G124" s="85">
        <v>0</v>
      </c>
      <c r="H124" s="174"/>
      <c r="J124" s="175"/>
      <c r="K124" s="201" t="s">
        <v>218</v>
      </c>
      <c r="L124" s="201" t="s">
        <v>219</v>
      </c>
      <c r="M124" s="203">
        <v>8.0000000000000002E-3</v>
      </c>
      <c r="N124" s="203">
        <v>5.0000000000000001E-3</v>
      </c>
      <c r="O124" s="203">
        <v>3.0000000000000001E-3</v>
      </c>
      <c r="P124" s="174"/>
    </row>
    <row r="125" spans="1:16" ht="11.5">
      <c r="A125" s="1"/>
      <c r="B125" s="175"/>
      <c r="C125" s="84" t="s">
        <v>204</v>
      </c>
      <c r="D125" s="84" t="s">
        <v>205</v>
      </c>
      <c r="E125" s="168">
        <v>1E-3</v>
      </c>
      <c r="F125" s="168">
        <v>1E-3</v>
      </c>
      <c r="G125" s="85">
        <v>0</v>
      </c>
      <c r="H125" s="174"/>
      <c r="J125" s="175"/>
      <c r="K125" s="201" t="s">
        <v>236</v>
      </c>
      <c r="L125" s="201" t="s">
        <v>237</v>
      </c>
      <c r="M125" s="203">
        <v>8.0000000000000002E-3</v>
      </c>
      <c r="N125" s="203">
        <v>1E-3</v>
      </c>
      <c r="O125" s="203">
        <v>7.0000000000000001E-3</v>
      </c>
      <c r="P125" s="174"/>
    </row>
    <row r="126" spans="1:16" ht="11.5">
      <c r="A126" s="1"/>
      <c r="B126" s="175"/>
      <c r="C126" s="84" t="s">
        <v>208</v>
      </c>
      <c r="D126" s="84" t="s">
        <v>209</v>
      </c>
      <c r="E126" s="168">
        <v>3.0000000000000001E-3</v>
      </c>
      <c r="F126" s="168">
        <v>3.0000000000000001E-3</v>
      </c>
      <c r="G126" s="85">
        <v>0</v>
      </c>
      <c r="H126" s="174"/>
      <c r="J126" s="175"/>
      <c r="K126" s="201" t="s">
        <v>160</v>
      </c>
      <c r="L126" s="201" t="s">
        <v>161</v>
      </c>
      <c r="M126" s="203">
        <v>7.0000000000000001E-3</v>
      </c>
      <c r="N126" s="203">
        <v>7.0000000000000001E-3</v>
      </c>
      <c r="O126" s="203">
        <v>0</v>
      </c>
      <c r="P126" s="174"/>
    </row>
    <row r="127" spans="1:16" ht="11.5">
      <c r="A127" s="1"/>
      <c r="B127" s="175"/>
      <c r="C127" s="84" t="s">
        <v>212</v>
      </c>
      <c r="D127" s="84" t="s">
        <v>213</v>
      </c>
      <c r="E127" s="168">
        <v>4.0000000000000001E-3</v>
      </c>
      <c r="F127" s="168">
        <v>4.0000000000000001E-3</v>
      </c>
      <c r="G127" s="85">
        <v>0</v>
      </c>
      <c r="H127" s="174"/>
      <c r="J127" s="175"/>
      <c r="K127" s="201" t="s">
        <v>162</v>
      </c>
      <c r="L127" s="201" t="s">
        <v>163</v>
      </c>
      <c r="M127" s="203">
        <v>7.0000000000000001E-3</v>
      </c>
      <c r="N127" s="203">
        <v>6.0000000000000001E-3</v>
      </c>
      <c r="O127" s="203">
        <v>0</v>
      </c>
      <c r="P127" s="174"/>
    </row>
    <row r="128" spans="1:16" ht="11.5">
      <c r="A128" s="1"/>
      <c r="B128" s="175"/>
      <c r="C128" s="84" t="s">
        <v>214</v>
      </c>
      <c r="D128" s="84" t="s">
        <v>215</v>
      </c>
      <c r="E128" s="85">
        <v>0</v>
      </c>
      <c r="F128" s="85">
        <v>0</v>
      </c>
      <c r="G128" s="85">
        <v>0</v>
      </c>
      <c r="H128" s="174"/>
      <c r="J128" s="175"/>
      <c r="K128" s="201" t="s">
        <v>190</v>
      </c>
      <c r="L128" s="201" t="s">
        <v>191</v>
      </c>
      <c r="M128" s="203">
        <v>7.0000000000000001E-3</v>
      </c>
      <c r="N128" s="203">
        <v>0</v>
      </c>
      <c r="O128" s="203">
        <v>7.0000000000000001E-3</v>
      </c>
      <c r="P128" s="174"/>
    </row>
    <row r="129" spans="1:16" ht="11.5">
      <c r="A129" s="1"/>
      <c r="B129" s="175"/>
      <c r="C129" s="84" t="s">
        <v>142</v>
      </c>
      <c r="D129" s="84" t="s">
        <v>143</v>
      </c>
      <c r="E129" s="168">
        <v>0.23699999999999999</v>
      </c>
      <c r="F129" s="168">
        <v>0.23699999999999999</v>
      </c>
      <c r="G129" s="85">
        <v>0</v>
      </c>
      <c r="H129" s="174"/>
      <c r="J129" s="175"/>
      <c r="K129" s="201" t="s">
        <v>194</v>
      </c>
      <c r="L129" s="201" t="s">
        <v>195</v>
      </c>
      <c r="M129" s="203">
        <v>7.0000000000000001E-3</v>
      </c>
      <c r="N129" s="203">
        <v>0</v>
      </c>
      <c r="O129" s="203">
        <v>7.0000000000000001E-3</v>
      </c>
      <c r="P129" s="174"/>
    </row>
    <row r="130" spans="1:16" ht="11.5">
      <c r="A130" s="1"/>
      <c r="B130" s="175"/>
      <c r="C130" s="84" t="s">
        <v>218</v>
      </c>
      <c r="D130" s="84" t="s">
        <v>219</v>
      </c>
      <c r="E130" s="168">
        <v>8.0000000000000002E-3</v>
      </c>
      <c r="F130" s="168">
        <v>5.0000000000000001E-3</v>
      </c>
      <c r="G130" s="168">
        <v>3.0000000000000001E-3</v>
      </c>
      <c r="H130" s="174"/>
      <c r="J130" s="175"/>
      <c r="K130" s="201" t="s">
        <v>232</v>
      </c>
      <c r="L130" s="201" t="s">
        <v>233</v>
      </c>
      <c r="M130" s="203">
        <v>7.0000000000000001E-3</v>
      </c>
      <c r="N130" s="203">
        <v>7.0000000000000001E-3</v>
      </c>
      <c r="O130" s="203">
        <v>0</v>
      </c>
      <c r="P130" s="174"/>
    </row>
    <row r="131" spans="1:16" ht="11.5">
      <c r="A131" s="1"/>
      <c r="B131" s="175"/>
      <c r="C131" s="84" t="s">
        <v>222</v>
      </c>
      <c r="D131" s="84" t="s">
        <v>223</v>
      </c>
      <c r="E131" s="168">
        <v>5.0000000000000001E-3</v>
      </c>
      <c r="F131" s="168">
        <v>4.0000000000000001E-3</v>
      </c>
      <c r="G131" s="168">
        <v>1E-3</v>
      </c>
      <c r="H131" s="174"/>
      <c r="J131" s="175"/>
      <c r="K131" s="201" t="s">
        <v>180</v>
      </c>
      <c r="L131" s="201" t="s">
        <v>181</v>
      </c>
      <c r="M131" s="203">
        <v>6.0000000000000001E-3</v>
      </c>
      <c r="N131" s="203">
        <v>1E-3</v>
      </c>
      <c r="O131" s="203">
        <v>5.0000000000000001E-3</v>
      </c>
      <c r="P131" s="174"/>
    </row>
    <row r="132" spans="1:16" ht="11.5">
      <c r="A132" s="1"/>
      <c r="B132" s="175"/>
      <c r="C132" s="84" t="s">
        <v>206</v>
      </c>
      <c r="D132" s="84" t="s">
        <v>207</v>
      </c>
      <c r="E132" s="168">
        <v>6.0000000000000001E-3</v>
      </c>
      <c r="F132" s="168">
        <v>6.0000000000000001E-3</v>
      </c>
      <c r="G132" s="85">
        <v>0</v>
      </c>
      <c r="H132" s="174"/>
      <c r="J132" s="175"/>
      <c r="K132" s="201" t="s">
        <v>186</v>
      </c>
      <c r="L132" s="201" t="s">
        <v>187</v>
      </c>
      <c r="M132" s="203">
        <v>6.0000000000000001E-3</v>
      </c>
      <c r="N132" s="203">
        <v>3.0000000000000001E-3</v>
      </c>
      <c r="O132" s="203">
        <v>3.0000000000000001E-3</v>
      </c>
      <c r="P132" s="174"/>
    </row>
    <row r="133" spans="1:16" ht="11.5">
      <c r="A133" s="1"/>
      <c r="B133" s="175"/>
      <c r="C133" s="84" t="s">
        <v>210</v>
      </c>
      <c r="D133" s="84" t="s">
        <v>211</v>
      </c>
      <c r="E133" s="168">
        <v>1.2999999999999999E-2</v>
      </c>
      <c r="F133" s="85">
        <v>0</v>
      </c>
      <c r="G133" s="168">
        <v>1.2999999999999999E-2</v>
      </c>
      <c r="H133" s="174"/>
      <c r="J133" s="175"/>
      <c r="K133" s="201" t="s">
        <v>206</v>
      </c>
      <c r="L133" s="201" t="s">
        <v>207</v>
      </c>
      <c r="M133" s="203">
        <v>6.0000000000000001E-3</v>
      </c>
      <c r="N133" s="203">
        <v>6.0000000000000001E-3</v>
      </c>
      <c r="O133" s="203">
        <v>0</v>
      </c>
      <c r="P133" s="174"/>
    </row>
    <row r="134" spans="1:16" ht="11.5">
      <c r="A134" s="1"/>
      <c r="B134" s="175"/>
      <c r="C134" s="84" t="s">
        <v>228</v>
      </c>
      <c r="D134" s="84" t="s">
        <v>229</v>
      </c>
      <c r="E134" s="168">
        <v>3.0000000000000001E-3</v>
      </c>
      <c r="F134" s="168">
        <v>3.0000000000000001E-3</v>
      </c>
      <c r="G134" s="85">
        <v>0</v>
      </c>
      <c r="H134" s="174"/>
      <c r="J134" s="175"/>
      <c r="K134" s="201" t="s">
        <v>220</v>
      </c>
      <c r="L134" s="201" t="s">
        <v>221</v>
      </c>
      <c r="M134" s="203">
        <v>6.0000000000000001E-3</v>
      </c>
      <c r="N134" s="203">
        <v>6.0000000000000001E-3</v>
      </c>
      <c r="O134" s="203">
        <v>0</v>
      </c>
      <c r="P134" s="174"/>
    </row>
    <row r="135" spans="1:16" ht="11.5">
      <c r="A135" s="1"/>
      <c r="B135" s="175"/>
      <c r="C135" s="84" t="s">
        <v>220</v>
      </c>
      <c r="D135" s="84" t="s">
        <v>221</v>
      </c>
      <c r="E135" s="168">
        <v>6.0000000000000001E-3</v>
      </c>
      <c r="F135" s="168">
        <v>6.0000000000000001E-3</v>
      </c>
      <c r="G135" s="85">
        <v>0</v>
      </c>
      <c r="H135" s="174"/>
      <c r="J135" s="175"/>
      <c r="K135" s="201" t="s">
        <v>222</v>
      </c>
      <c r="L135" s="201" t="s">
        <v>223</v>
      </c>
      <c r="M135" s="203">
        <v>5.0000000000000001E-3</v>
      </c>
      <c r="N135" s="203">
        <v>4.0000000000000001E-3</v>
      </c>
      <c r="O135" s="203">
        <v>1E-3</v>
      </c>
      <c r="P135" s="174"/>
    </row>
    <row r="136" spans="1:16" ht="11.5">
      <c r="A136" s="1"/>
      <c r="B136" s="175"/>
      <c r="C136" s="84" t="s">
        <v>230</v>
      </c>
      <c r="D136" s="84" t="s">
        <v>231</v>
      </c>
      <c r="E136" s="85">
        <v>1E-3</v>
      </c>
      <c r="F136" s="85">
        <v>1E-3</v>
      </c>
      <c r="G136" s="85">
        <v>0</v>
      </c>
      <c r="H136" s="174"/>
      <c r="J136" s="175"/>
      <c r="K136" s="201" t="s">
        <v>170</v>
      </c>
      <c r="L136" s="201" t="s">
        <v>171</v>
      </c>
      <c r="M136" s="203">
        <v>4.0000000000000001E-3</v>
      </c>
      <c r="N136" s="203">
        <v>3.0000000000000001E-3</v>
      </c>
      <c r="O136" s="203">
        <v>1E-3</v>
      </c>
      <c r="P136" s="174"/>
    </row>
    <row r="137" spans="1:16" ht="11.5">
      <c r="A137" s="1"/>
      <c r="B137" s="175"/>
      <c r="C137" s="84" t="s">
        <v>150</v>
      </c>
      <c r="D137" s="84" t="s">
        <v>151</v>
      </c>
      <c r="E137" s="168">
        <v>5.1999999999999998E-2</v>
      </c>
      <c r="F137" s="168">
        <v>5.0999999999999997E-2</v>
      </c>
      <c r="G137" s="168">
        <v>1E-3</v>
      </c>
      <c r="H137" s="174"/>
      <c r="J137" s="175"/>
      <c r="K137" s="201" t="s">
        <v>198</v>
      </c>
      <c r="L137" s="201" t="s">
        <v>199</v>
      </c>
      <c r="M137" s="203">
        <v>4.0000000000000001E-3</v>
      </c>
      <c r="N137" s="203">
        <v>4.0000000000000001E-3</v>
      </c>
      <c r="O137" s="203">
        <v>0</v>
      </c>
      <c r="P137" s="174"/>
    </row>
    <row r="138" spans="1:16" ht="11.5">
      <c r="A138" s="1"/>
      <c r="B138" s="175"/>
      <c r="C138" s="84" t="s">
        <v>234</v>
      </c>
      <c r="D138" s="84" t="s">
        <v>235</v>
      </c>
      <c r="E138" s="168">
        <v>2E-3</v>
      </c>
      <c r="F138" s="168">
        <v>1E-3</v>
      </c>
      <c r="G138" s="168">
        <v>1E-3</v>
      </c>
      <c r="H138" s="174"/>
      <c r="J138" s="175"/>
      <c r="K138" s="201" t="s">
        <v>212</v>
      </c>
      <c r="L138" s="201" t="s">
        <v>213</v>
      </c>
      <c r="M138" s="203">
        <v>4.0000000000000001E-3</v>
      </c>
      <c r="N138" s="203">
        <v>4.0000000000000001E-3</v>
      </c>
      <c r="O138" s="203">
        <v>0</v>
      </c>
      <c r="P138" s="174"/>
    </row>
    <row r="139" spans="1:16" ht="11.5">
      <c r="A139" s="1"/>
      <c r="B139" s="175"/>
      <c r="C139" s="84" t="s">
        <v>236</v>
      </c>
      <c r="D139" s="84" t="s">
        <v>237</v>
      </c>
      <c r="E139" s="168">
        <v>8.0000000000000002E-3</v>
      </c>
      <c r="F139" s="85">
        <v>1E-3</v>
      </c>
      <c r="G139" s="168">
        <v>7.0000000000000001E-3</v>
      </c>
      <c r="H139" s="174"/>
      <c r="J139" s="175"/>
      <c r="K139" s="201" t="s">
        <v>242</v>
      </c>
      <c r="L139" s="201" t="s">
        <v>243</v>
      </c>
      <c r="M139" s="203">
        <v>4.0000000000000001E-3</v>
      </c>
      <c r="N139" s="203">
        <v>3.0000000000000001E-3</v>
      </c>
      <c r="O139" s="203">
        <v>0</v>
      </c>
      <c r="P139" s="174"/>
    </row>
    <row r="140" spans="1:16" ht="11.5">
      <c r="A140" s="1"/>
      <c r="B140" s="175"/>
      <c r="C140" s="84" t="s">
        <v>188</v>
      </c>
      <c r="D140" s="84" t="s">
        <v>189</v>
      </c>
      <c r="E140" s="168">
        <v>4.4999999999999998E-2</v>
      </c>
      <c r="F140" s="168">
        <v>5.0000000000000001E-3</v>
      </c>
      <c r="G140" s="168">
        <v>0.04</v>
      </c>
      <c r="H140" s="174"/>
      <c r="J140" s="175"/>
      <c r="K140" s="201" t="s">
        <v>208</v>
      </c>
      <c r="L140" s="201" t="s">
        <v>209</v>
      </c>
      <c r="M140" s="203">
        <v>3.0000000000000001E-3</v>
      </c>
      <c r="N140" s="203">
        <v>3.0000000000000001E-3</v>
      </c>
      <c r="O140" s="203">
        <v>0</v>
      </c>
      <c r="P140" s="174"/>
    </row>
    <row r="141" spans="1:16" ht="11.5">
      <c r="A141" s="1"/>
      <c r="B141" s="175"/>
      <c r="C141" s="84" t="s">
        <v>238</v>
      </c>
      <c r="D141" s="84" t="s">
        <v>239</v>
      </c>
      <c r="E141" s="85">
        <v>0</v>
      </c>
      <c r="F141" s="85">
        <v>0</v>
      </c>
      <c r="G141" s="85">
        <v>0</v>
      </c>
      <c r="H141" s="174"/>
      <c r="J141" s="175"/>
      <c r="K141" s="201" t="s">
        <v>228</v>
      </c>
      <c r="L141" s="201" t="s">
        <v>229</v>
      </c>
      <c r="M141" s="203">
        <v>3.0000000000000001E-3</v>
      </c>
      <c r="N141" s="203">
        <v>3.0000000000000001E-3</v>
      </c>
      <c r="O141" s="203">
        <v>0</v>
      </c>
      <c r="P141" s="174"/>
    </row>
    <row r="142" spans="1:16" ht="11.5">
      <c r="A142" s="1"/>
      <c r="B142" s="175"/>
      <c r="C142" s="84" t="s">
        <v>240</v>
      </c>
      <c r="D142" s="84" t="s">
        <v>241</v>
      </c>
      <c r="E142" s="168">
        <v>2E-3</v>
      </c>
      <c r="F142" s="168">
        <v>1E-3</v>
      </c>
      <c r="G142" s="85">
        <v>0</v>
      </c>
      <c r="H142" s="174"/>
      <c r="J142" s="175"/>
      <c r="K142" s="201" t="s">
        <v>244</v>
      </c>
      <c r="L142" s="201" t="s">
        <v>245</v>
      </c>
      <c r="M142" s="203">
        <v>3.0000000000000001E-3</v>
      </c>
      <c r="N142" s="203">
        <v>3.0000000000000001E-3</v>
      </c>
      <c r="O142" s="203">
        <v>1E-3</v>
      </c>
      <c r="P142" s="174"/>
    </row>
    <row r="143" spans="1:16" ht="11.5">
      <c r="A143" s="1"/>
      <c r="B143" s="175"/>
      <c r="C143" s="84" t="s">
        <v>242</v>
      </c>
      <c r="D143" s="84" t="s">
        <v>243</v>
      </c>
      <c r="E143" s="168">
        <v>4.0000000000000001E-3</v>
      </c>
      <c r="F143" s="168">
        <v>3.0000000000000001E-3</v>
      </c>
      <c r="G143" s="85">
        <v>0</v>
      </c>
      <c r="H143" s="174"/>
      <c r="J143" s="175"/>
      <c r="K143" s="201" t="s">
        <v>172</v>
      </c>
      <c r="L143" s="201" t="s">
        <v>173</v>
      </c>
      <c r="M143" s="203">
        <v>2E-3</v>
      </c>
      <c r="N143" s="203">
        <v>1E-3</v>
      </c>
      <c r="O143" s="203">
        <v>0</v>
      </c>
      <c r="P143" s="174"/>
    </row>
    <row r="144" spans="1:16" ht="11.5">
      <c r="A144" s="1"/>
      <c r="B144" s="175"/>
      <c r="C144" s="84" t="s">
        <v>246</v>
      </c>
      <c r="D144" s="84" t="s">
        <v>247</v>
      </c>
      <c r="E144" s="85">
        <v>0</v>
      </c>
      <c r="F144" s="85">
        <v>0</v>
      </c>
      <c r="G144" s="85">
        <v>0</v>
      </c>
      <c r="H144" s="174"/>
      <c r="J144" s="175"/>
      <c r="K144" s="201" t="s">
        <v>196</v>
      </c>
      <c r="L144" s="201" t="s">
        <v>197</v>
      </c>
      <c r="M144" s="203">
        <v>2E-3</v>
      </c>
      <c r="N144" s="203">
        <v>2E-3</v>
      </c>
      <c r="O144" s="203">
        <v>0</v>
      </c>
      <c r="P144" s="174"/>
    </row>
    <row r="145" spans="1:16" ht="11.5">
      <c r="A145" s="1"/>
      <c r="B145" s="175"/>
      <c r="C145" s="84" t="s">
        <v>248</v>
      </c>
      <c r="D145" s="84" t="s">
        <v>249</v>
      </c>
      <c r="E145" s="168">
        <v>1.0999999999999999E-2</v>
      </c>
      <c r="F145" s="168">
        <v>1.0999999999999999E-2</v>
      </c>
      <c r="G145" s="85">
        <v>0</v>
      </c>
      <c r="H145" s="174"/>
      <c r="J145" s="175"/>
      <c r="K145" s="201" t="s">
        <v>234</v>
      </c>
      <c r="L145" s="201" t="s">
        <v>235</v>
      </c>
      <c r="M145" s="203">
        <v>2E-3</v>
      </c>
      <c r="N145" s="203">
        <v>1E-3</v>
      </c>
      <c r="O145" s="203">
        <v>1E-3</v>
      </c>
      <c r="P145" s="174"/>
    </row>
    <row r="146" spans="1:16" ht="11.5">
      <c r="A146" s="1"/>
      <c r="B146" s="175"/>
      <c r="C146" s="84" t="s">
        <v>244</v>
      </c>
      <c r="D146" s="84" t="s">
        <v>245</v>
      </c>
      <c r="E146" s="168">
        <v>3.0000000000000001E-3</v>
      </c>
      <c r="F146" s="168">
        <v>3.0000000000000001E-3</v>
      </c>
      <c r="G146" s="85">
        <v>1E-3</v>
      </c>
      <c r="H146" s="174"/>
      <c r="J146" s="175"/>
      <c r="K146" s="201" t="s">
        <v>240</v>
      </c>
      <c r="L146" s="201" t="s">
        <v>241</v>
      </c>
      <c r="M146" s="203">
        <v>2E-3</v>
      </c>
      <c r="N146" s="203">
        <v>1E-3</v>
      </c>
      <c r="O146" s="203">
        <v>0</v>
      </c>
      <c r="P146" s="174"/>
    </row>
    <row r="147" spans="1:16" ht="11.5">
      <c r="A147" s="1"/>
      <c r="B147" s="175"/>
      <c r="C147" s="84" t="s">
        <v>146</v>
      </c>
      <c r="D147" s="84" t="s">
        <v>147</v>
      </c>
      <c r="E147" s="168">
        <v>4.2999999999999997E-2</v>
      </c>
      <c r="F147" s="168">
        <v>4.2999999999999997E-2</v>
      </c>
      <c r="G147" s="85">
        <v>0</v>
      </c>
      <c r="H147" s="174"/>
      <c r="J147" s="175"/>
      <c r="K147" s="201" t="s">
        <v>138</v>
      </c>
      <c r="L147" s="201" t="s">
        <v>139</v>
      </c>
      <c r="M147" s="203">
        <v>1E-3</v>
      </c>
      <c r="N147" s="203">
        <v>1E-3</v>
      </c>
      <c r="O147" s="203">
        <v>0</v>
      </c>
      <c r="P147" s="174"/>
    </row>
    <row r="148" spans="1:16" ht="11.5">
      <c r="A148" s="1"/>
      <c r="B148" s="175"/>
      <c r="C148" s="84" t="s">
        <v>192</v>
      </c>
      <c r="D148" s="84" t="s">
        <v>193</v>
      </c>
      <c r="E148" s="168">
        <v>2.3E-2</v>
      </c>
      <c r="F148" s="168">
        <v>2.3E-2</v>
      </c>
      <c r="G148" s="85">
        <v>0</v>
      </c>
      <c r="H148" s="174"/>
      <c r="J148" s="175"/>
      <c r="K148" s="201" t="s">
        <v>156</v>
      </c>
      <c r="L148" s="201" t="s">
        <v>157</v>
      </c>
      <c r="M148" s="203">
        <v>1E-3</v>
      </c>
      <c r="N148" s="203">
        <v>1E-3</v>
      </c>
      <c r="O148" s="203">
        <v>0</v>
      </c>
      <c r="P148" s="174"/>
    </row>
    <row r="149" spans="1:16" ht="11.5">
      <c r="A149" s="1"/>
      <c r="B149" s="175"/>
      <c r="C149" s="84" t="s">
        <v>168</v>
      </c>
      <c r="D149" s="84" t="s">
        <v>169</v>
      </c>
      <c r="E149" s="167">
        <v>6.7000000000000004E-2</v>
      </c>
      <c r="F149" s="167">
        <v>6.7000000000000004E-2</v>
      </c>
      <c r="G149" s="85">
        <v>0</v>
      </c>
      <c r="H149" s="174"/>
      <c r="J149" s="175"/>
      <c r="K149" s="201" t="s">
        <v>204</v>
      </c>
      <c r="L149" s="201" t="s">
        <v>205</v>
      </c>
      <c r="M149" s="203">
        <v>1E-3</v>
      </c>
      <c r="N149" s="203">
        <v>1E-3</v>
      </c>
      <c r="O149" s="203">
        <v>0</v>
      </c>
      <c r="P149" s="174"/>
    </row>
    <row r="150" spans="1:16" ht="11.5">
      <c r="A150" s="1"/>
      <c r="B150" s="175"/>
      <c r="C150" s="84" t="s">
        <v>200</v>
      </c>
      <c r="D150" s="84" t="s">
        <v>201</v>
      </c>
      <c r="E150" s="168">
        <v>3.5000000000000003E-2</v>
      </c>
      <c r="F150" s="168">
        <v>3.5000000000000003E-2</v>
      </c>
      <c r="G150" s="85">
        <v>0</v>
      </c>
      <c r="H150" s="174"/>
      <c r="J150" s="175"/>
      <c r="K150" s="201" t="s">
        <v>230</v>
      </c>
      <c r="L150" s="201" t="s">
        <v>231</v>
      </c>
      <c r="M150" s="203">
        <v>1E-3</v>
      </c>
      <c r="N150" s="203">
        <v>1E-3</v>
      </c>
      <c r="O150" s="203">
        <v>0</v>
      </c>
      <c r="P150" s="174"/>
    </row>
    <row r="151" spans="1:16" ht="11.5">
      <c r="A151" s="1"/>
      <c r="B151" s="175"/>
      <c r="C151" s="84" t="s">
        <v>216</v>
      </c>
      <c r="D151" s="84" t="s">
        <v>217</v>
      </c>
      <c r="E151" s="168">
        <v>1.2999999999999999E-2</v>
      </c>
      <c r="F151" s="167">
        <v>1.2E-2</v>
      </c>
      <c r="G151" s="168">
        <v>1E-3</v>
      </c>
      <c r="H151" s="174"/>
      <c r="J151" s="175"/>
      <c r="K151" s="201" t="s">
        <v>250</v>
      </c>
      <c r="L151" s="201" t="s">
        <v>251</v>
      </c>
      <c r="M151" s="203">
        <v>1E-3</v>
      </c>
      <c r="N151" s="203">
        <v>1E-3</v>
      </c>
      <c r="O151" s="203">
        <v>0</v>
      </c>
      <c r="P151" s="174"/>
    </row>
    <row r="152" spans="1:16" ht="11.5">
      <c r="A152" s="1"/>
      <c r="B152" s="175"/>
      <c r="C152" s="84" t="s">
        <v>226</v>
      </c>
      <c r="D152" s="84" t="s">
        <v>227</v>
      </c>
      <c r="E152" s="168">
        <v>1.7000000000000001E-2</v>
      </c>
      <c r="F152" s="168">
        <v>1.7000000000000001E-2</v>
      </c>
      <c r="G152" s="85">
        <v>0</v>
      </c>
      <c r="H152" s="174"/>
      <c r="J152" s="175"/>
      <c r="K152" s="201" t="s">
        <v>176</v>
      </c>
      <c r="L152" s="201" t="s">
        <v>177</v>
      </c>
      <c r="M152" s="203">
        <v>0</v>
      </c>
      <c r="N152" s="203">
        <v>0</v>
      </c>
      <c r="O152" s="203">
        <v>0</v>
      </c>
      <c r="P152" s="174"/>
    </row>
    <row r="153" spans="1:16" ht="11.5">
      <c r="A153" s="1"/>
      <c r="B153" s="175"/>
      <c r="C153" s="84" t="s">
        <v>232</v>
      </c>
      <c r="D153" s="84" t="s">
        <v>233</v>
      </c>
      <c r="E153" s="168">
        <v>7.0000000000000001E-3</v>
      </c>
      <c r="F153" s="168">
        <v>7.0000000000000001E-3</v>
      </c>
      <c r="G153" s="85">
        <v>0</v>
      </c>
      <c r="H153" s="174"/>
      <c r="J153" s="175"/>
      <c r="K153" s="201" t="s">
        <v>214</v>
      </c>
      <c r="L153" s="201" t="s">
        <v>215</v>
      </c>
      <c r="M153" s="203">
        <v>0</v>
      </c>
      <c r="N153" s="203">
        <v>0</v>
      </c>
      <c r="O153" s="203">
        <v>0</v>
      </c>
      <c r="P153" s="174"/>
    </row>
    <row r="154" spans="1:16" ht="11.5">
      <c r="A154" s="1"/>
      <c r="B154" s="175"/>
      <c r="C154" s="84" t="s">
        <v>250</v>
      </c>
      <c r="D154" s="84" t="s">
        <v>251</v>
      </c>
      <c r="E154" s="168">
        <v>1E-3</v>
      </c>
      <c r="F154" s="168">
        <v>1E-3</v>
      </c>
      <c r="G154" s="85">
        <v>0</v>
      </c>
      <c r="H154" s="174"/>
      <c r="J154" s="175"/>
      <c r="K154" s="201" t="s">
        <v>238</v>
      </c>
      <c r="L154" s="201" t="s">
        <v>239</v>
      </c>
      <c r="M154" s="203">
        <v>0</v>
      </c>
      <c r="N154" s="203">
        <v>0</v>
      </c>
      <c r="O154" s="203">
        <v>0</v>
      </c>
      <c r="P154" s="174"/>
    </row>
    <row r="155" spans="1:16" ht="11.5">
      <c r="A155" s="1"/>
      <c r="B155" s="175"/>
      <c r="C155" s="84" t="s">
        <v>224</v>
      </c>
      <c r="D155" s="84" t="s">
        <v>225</v>
      </c>
      <c r="E155" s="168">
        <v>8.9999999999999993E-3</v>
      </c>
      <c r="F155" s="168">
        <v>8.9999999999999993E-3</v>
      </c>
      <c r="G155" s="85">
        <v>0</v>
      </c>
      <c r="H155" s="174"/>
      <c r="J155" s="175"/>
      <c r="K155" s="201" t="s">
        <v>246</v>
      </c>
      <c r="L155" s="201" t="s">
        <v>247</v>
      </c>
      <c r="M155" s="203">
        <v>0</v>
      </c>
      <c r="N155" s="203">
        <v>0</v>
      </c>
      <c r="O155" s="203">
        <v>0</v>
      </c>
      <c r="P155" s="174"/>
    </row>
    <row r="156" spans="1:16" ht="11.5">
      <c r="A156" s="1"/>
      <c r="B156" s="175"/>
      <c r="C156" s="84" t="s">
        <v>252</v>
      </c>
      <c r="D156" s="84" t="s">
        <v>253</v>
      </c>
      <c r="E156" s="85">
        <v>0</v>
      </c>
      <c r="F156" s="85">
        <v>0</v>
      </c>
      <c r="G156" s="85">
        <v>0</v>
      </c>
      <c r="H156" s="174"/>
      <c r="J156" s="175"/>
      <c r="K156" s="201" t="s">
        <v>252</v>
      </c>
      <c r="L156" s="201" t="s">
        <v>253</v>
      </c>
      <c r="M156" s="203">
        <v>0</v>
      </c>
      <c r="N156" s="203">
        <v>0</v>
      </c>
      <c r="O156" s="203">
        <v>0</v>
      </c>
      <c r="P156" s="174"/>
    </row>
    <row r="157" spans="1:16" ht="11.5">
      <c r="A157" s="1"/>
      <c r="B157" s="175"/>
      <c r="C157" s="173"/>
      <c r="D157" s="173"/>
      <c r="E157" s="173"/>
      <c r="F157" s="173"/>
      <c r="G157" s="173"/>
      <c r="H157" s="174"/>
      <c r="J157" s="175"/>
      <c r="K157" s="173"/>
      <c r="L157" s="173"/>
      <c r="M157" s="173"/>
      <c r="N157" s="173"/>
      <c r="O157" s="173"/>
      <c r="P157" s="174"/>
    </row>
    <row r="158" spans="1:16" ht="11.5">
      <c r="A158" s="1"/>
      <c r="B158" s="175"/>
      <c r="C158" s="11" t="s">
        <v>38</v>
      </c>
      <c r="D158" s="173"/>
      <c r="E158" s="173"/>
      <c r="F158" s="173"/>
      <c r="G158" s="173"/>
      <c r="H158" s="174"/>
      <c r="J158" s="175"/>
      <c r="K158" s="11" t="s">
        <v>38</v>
      </c>
      <c r="L158" s="173"/>
      <c r="M158" s="173"/>
      <c r="N158" s="173"/>
      <c r="O158" s="173"/>
      <c r="P158" s="174"/>
    </row>
    <row r="159" spans="1:16" ht="11.5">
      <c r="A159" s="1"/>
      <c r="B159" s="175"/>
      <c r="C159" s="11" t="s">
        <v>36</v>
      </c>
      <c r="D159" s="11" t="s">
        <v>39</v>
      </c>
      <c r="E159" s="173"/>
      <c r="F159" s="173"/>
      <c r="G159" s="173"/>
      <c r="H159" s="174"/>
      <c r="J159" s="175"/>
      <c r="K159" s="11" t="s">
        <v>36</v>
      </c>
      <c r="L159" s="11" t="s">
        <v>39</v>
      </c>
      <c r="M159" s="173"/>
      <c r="N159" s="173"/>
      <c r="O159" s="173"/>
      <c r="P159" s="174"/>
    </row>
    <row r="160" spans="1:16" ht="11.5">
      <c r="A160" s="1"/>
      <c r="B160" s="175"/>
      <c r="C160" s="173"/>
      <c r="D160" s="173"/>
      <c r="E160" s="173"/>
      <c r="F160" s="173"/>
      <c r="G160" s="173"/>
      <c r="H160" s="174"/>
      <c r="J160" s="175"/>
      <c r="K160" s="173"/>
      <c r="L160" s="173"/>
      <c r="M160" s="173"/>
      <c r="N160" s="173"/>
      <c r="O160" s="173"/>
      <c r="P160" s="174"/>
    </row>
    <row r="161" spans="1:16" ht="11.5">
      <c r="A161" s="1"/>
      <c r="B161" s="175"/>
      <c r="C161" s="11" t="s">
        <v>15</v>
      </c>
      <c r="D161" s="11" t="s">
        <v>303</v>
      </c>
      <c r="E161" s="173"/>
      <c r="F161" s="173"/>
      <c r="G161" s="173"/>
      <c r="H161" s="174"/>
      <c r="J161" s="175"/>
      <c r="K161" s="11" t="str">
        <f>C161</f>
        <v>GEO</v>
      </c>
      <c r="L161" s="11" t="str">
        <f>D161</f>
        <v>EU27_2020 - European Union - 27 countries (from 2020)</v>
      </c>
      <c r="M161" s="173"/>
      <c r="N161" s="173"/>
      <c r="O161" s="173"/>
      <c r="P161" s="174"/>
    </row>
    <row r="162" spans="1:16" ht="11.5">
      <c r="A162" s="1"/>
      <c r="B162" s="175"/>
      <c r="C162" s="11" t="s">
        <v>13</v>
      </c>
      <c r="D162" s="11" t="s">
        <v>114</v>
      </c>
      <c r="E162" s="173"/>
      <c r="F162" s="173"/>
      <c r="G162" s="173"/>
      <c r="H162" s="174"/>
      <c r="J162" s="175"/>
      <c r="K162" s="11" t="str">
        <f t="shared" ref="K162:K164" si="8">C162</f>
        <v>UNIT</v>
      </c>
      <c r="L162" s="11" t="str">
        <f t="shared" ref="L162:L164" si="9">D162</f>
        <v>Tonnes per capita</v>
      </c>
      <c r="M162" s="173"/>
      <c r="N162" s="173"/>
      <c r="O162" s="173"/>
      <c r="P162" s="174"/>
    </row>
    <row r="163" spans="1:16" ht="11.5">
      <c r="A163" s="1"/>
      <c r="B163" s="175"/>
      <c r="C163" s="11" t="s">
        <v>118</v>
      </c>
      <c r="D163" s="219">
        <f>Cover!C1</f>
        <v>2019</v>
      </c>
      <c r="E163" s="173"/>
      <c r="F163" s="173"/>
      <c r="G163" s="173"/>
      <c r="H163" s="174"/>
      <c r="J163" s="175"/>
      <c r="K163" s="11" t="str">
        <f t="shared" si="8"/>
        <v>TIME</v>
      </c>
      <c r="L163" s="219">
        <f t="shared" si="9"/>
        <v>2019</v>
      </c>
      <c r="M163" s="173"/>
      <c r="N163" s="173"/>
      <c r="O163" s="173"/>
      <c r="P163" s="174"/>
    </row>
    <row r="164" spans="1:16" ht="11.5">
      <c r="A164" s="1"/>
      <c r="B164" s="175"/>
      <c r="C164" s="11" t="s">
        <v>78</v>
      </c>
      <c r="D164" s="11" t="s">
        <v>255</v>
      </c>
      <c r="E164" s="173"/>
      <c r="F164" s="173"/>
      <c r="G164" s="173"/>
      <c r="H164" s="174"/>
      <c r="J164" s="175"/>
      <c r="K164" s="11" t="str">
        <f t="shared" si="8"/>
        <v>MATERIAL</v>
      </c>
      <c r="L164" s="11" t="str">
        <f t="shared" si="9"/>
        <v>MF2 - Metal ores (gross ores)</v>
      </c>
      <c r="M164" s="173"/>
      <c r="N164" s="173"/>
      <c r="O164" s="173"/>
      <c r="P164" s="174"/>
    </row>
    <row r="165" spans="1:16" ht="11.5">
      <c r="A165" s="1"/>
      <c r="B165" s="175"/>
      <c r="C165" s="173"/>
      <c r="D165" s="173"/>
      <c r="E165" s="173"/>
      <c r="F165" s="173"/>
      <c r="G165" s="173"/>
      <c r="H165" s="174"/>
      <c r="J165" s="175"/>
      <c r="K165" s="173"/>
      <c r="L165" s="173"/>
      <c r="M165" s="173"/>
      <c r="N165" s="173"/>
      <c r="O165" s="173"/>
      <c r="P165" s="174"/>
    </row>
    <row r="166" spans="1:16" ht="11.5">
      <c r="A166" s="1"/>
      <c r="B166" s="175"/>
      <c r="C166" s="84" t="s">
        <v>120</v>
      </c>
      <c r="D166" s="84" t="s">
        <v>115</v>
      </c>
      <c r="E166" s="84" t="s">
        <v>93</v>
      </c>
      <c r="F166" s="84" t="s">
        <v>121</v>
      </c>
      <c r="G166" s="84" t="s">
        <v>122</v>
      </c>
      <c r="H166" s="174"/>
      <c r="J166" s="175"/>
      <c r="K166" s="196" t="s">
        <v>120</v>
      </c>
      <c r="L166" s="198" t="str">
        <f t="shared" ref="L166:O166" si="10">D166</f>
        <v>INDIC_ENV</v>
      </c>
      <c r="M166" s="198" t="str">
        <f t="shared" si="10"/>
        <v>RMC</v>
      </c>
      <c r="N166" s="198" t="str">
        <f t="shared" si="10"/>
        <v>RMC_P3</v>
      </c>
      <c r="O166" s="198" t="str">
        <f t="shared" si="10"/>
        <v>RMC_P5</v>
      </c>
      <c r="P166" s="174"/>
    </row>
    <row r="167" spans="1:16" ht="11.5">
      <c r="A167" s="1"/>
      <c r="B167" s="175"/>
      <c r="C167" s="84" t="s">
        <v>123</v>
      </c>
      <c r="D167" s="84" t="s">
        <v>124</v>
      </c>
      <c r="E167" s="84" t="s">
        <v>113</v>
      </c>
      <c r="F167" s="84" t="s">
        <v>125</v>
      </c>
      <c r="G167" s="84" t="s">
        <v>126</v>
      </c>
      <c r="H167" s="174"/>
      <c r="J167" s="175"/>
      <c r="K167" s="197" t="str">
        <f t="shared" ref="K167:O168" si="11">C167</f>
        <v>CPA08</v>
      </c>
      <c r="L167" s="199" t="str">
        <f t="shared" si="11"/>
        <v>CPA08(L)/INDIC_ENV(L)</v>
      </c>
      <c r="M167" s="199" t="str">
        <f t="shared" si="11"/>
        <v xml:space="preserve">Raw material consumption </v>
      </c>
      <c r="N167" s="199" t="str">
        <f t="shared" si="11"/>
        <v>Raw material consumption as result of final consumption expenditure</v>
      </c>
      <c r="O167" s="199" t="str">
        <f t="shared" si="11"/>
        <v xml:space="preserve">Raw material consumption as result of gross capital formation </v>
      </c>
      <c r="P167" s="174"/>
    </row>
    <row r="168" spans="1:16" ht="11.5">
      <c r="A168" s="1"/>
      <c r="B168" s="175"/>
      <c r="C168" s="84" t="s">
        <v>82</v>
      </c>
      <c r="D168" s="84" t="s">
        <v>127</v>
      </c>
      <c r="E168" s="168">
        <v>1.351</v>
      </c>
      <c r="F168" s="167">
        <v>0.71799999999999997</v>
      </c>
      <c r="G168" s="168">
        <v>0.63300000000000001</v>
      </c>
      <c r="H168" s="174"/>
      <c r="J168" s="175"/>
      <c r="K168" s="200" t="str">
        <f t="shared" si="11"/>
        <v>TOTAL</v>
      </c>
      <c r="L168" s="200" t="str">
        <f t="shared" si="11"/>
        <v>Total CPA products</v>
      </c>
      <c r="M168" s="202">
        <f t="shared" si="11"/>
        <v>1.351</v>
      </c>
      <c r="N168" s="202">
        <f t="shared" si="11"/>
        <v>0.71799999999999997</v>
      </c>
      <c r="O168" s="202">
        <f t="shared" si="11"/>
        <v>0.63300000000000001</v>
      </c>
      <c r="P168" s="174"/>
    </row>
    <row r="169" spans="1:16" ht="11.5">
      <c r="A169" s="1"/>
      <c r="B169" s="175"/>
      <c r="C169" s="84" t="s">
        <v>128</v>
      </c>
      <c r="D169" s="84" t="s">
        <v>129</v>
      </c>
      <c r="E169" s="168">
        <v>5.0000000000000001E-3</v>
      </c>
      <c r="F169" s="168">
        <v>4.0000000000000001E-3</v>
      </c>
      <c r="G169" s="168">
        <v>1E-3</v>
      </c>
      <c r="H169" s="174"/>
      <c r="J169" s="175"/>
      <c r="K169" s="201" t="s">
        <v>130</v>
      </c>
      <c r="L169" s="201" t="s">
        <v>131</v>
      </c>
      <c r="M169" s="203">
        <v>0.219</v>
      </c>
      <c r="N169" s="203">
        <v>0.01</v>
      </c>
      <c r="O169" s="203">
        <v>0.20899999999999999</v>
      </c>
      <c r="P169" s="174"/>
    </row>
    <row r="170" spans="1:16" ht="11.5">
      <c r="A170" s="1"/>
      <c r="B170" s="175"/>
      <c r="C170" s="84" t="s">
        <v>132</v>
      </c>
      <c r="D170" s="84" t="s">
        <v>133</v>
      </c>
      <c r="E170" s="168">
        <v>1E-3</v>
      </c>
      <c r="F170" s="85">
        <v>0</v>
      </c>
      <c r="G170" s="85">
        <v>0</v>
      </c>
      <c r="H170" s="174"/>
      <c r="J170" s="175"/>
      <c r="K170" s="201" t="s">
        <v>158</v>
      </c>
      <c r="L170" s="201" t="s">
        <v>159</v>
      </c>
      <c r="M170" s="203">
        <v>0.11899999999999999</v>
      </c>
      <c r="N170" s="203">
        <v>5.8999999999999997E-2</v>
      </c>
      <c r="O170" s="203">
        <v>0.06</v>
      </c>
      <c r="P170" s="174"/>
    </row>
    <row r="171" spans="1:16" ht="11.5">
      <c r="A171" s="1"/>
      <c r="B171" s="175"/>
      <c r="C171" s="84" t="s">
        <v>136</v>
      </c>
      <c r="D171" s="84" t="s">
        <v>137</v>
      </c>
      <c r="E171" s="168">
        <v>1E-3</v>
      </c>
      <c r="F171" s="168">
        <v>1E-3</v>
      </c>
      <c r="G171" s="85">
        <v>0</v>
      </c>
      <c r="H171" s="174"/>
      <c r="J171" s="175"/>
      <c r="K171" s="201" t="s">
        <v>182</v>
      </c>
      <c r="L171" s="201" t="s">
        <v>183</v>
      </c>
      <c r="M171" s="203">
        <v>7.5999999999999998E-2</v>
      </c>
      <c r="N171" s="203">
        <v>4.9000000000000002E-2</v>
      </c>
      <c r="O171" s="203">
        <v>2.8000000000000001E-2</v>
      </c>
      <c r="P171" s="174"/>
    </row>
    <row r="172" spans="1:16" ht="11.5">
      <c r="A172" s="1"/>
      <c r="B172" s="175"/>
      <c r="C172" s="84" t="s">
        <v>138</v>
      </c>
      <c r="D172" s="84" t="s">
        <v>139</v>
      </c>
      <c r="E172" s="168">
        <v>3.0000000000000001E-3</v>
      </c>
      <c r="F172" s="168">
        <v>2E-3</v>
      </c>
      <c r="G172" s="168">
        <v>2E-3</v>
      </c>
      <c r="H172" s="174"/>
      <c r="J172" s="175"/>
      <c r="K172" s="201" t="s">
        <v>174</v>
      </c>
      <c r="L172" s="201" t="s">
        <v>175</v>
      </c>
      <c r="M172" s="203">
        <v>7.2999999999999995E-2</v>
      </c>
      <c r="N172" s="203">
        <v>2E-3</v>
      </c>
      <c r="O172" s="203">
        <v>7.0999999999999994E-2</v>
      </c>
      <c r="P172" s="174"/>
    </row>
    <row r="173" spans="1:16" ht="11.5">
      <c r="A173" s="1"/>
      <c r="B173" s="175"/>
      <c r="C173" s="84" t="s">
        <v>134</v>
      </c>
      <c r="D173" s="84" t="s">
        <v>135</v>
      </c>
      <c r="E173" s="168">
        <v>4.9000000000000002E-2</v>
      </c>
      <c r="F173" s="168">
        <v>4.8000000000000001E-2</v>
      </c>
      <c r="G173" s="168">
        <v>2E-3</v>
      </c>
      <c r="H173" s="174"/>
      <c r="J173" s="175"/>
      <c r="K173" s="201" t="s">
        <v>150</v>
      </c>
      <c r="L173" s="201" t="s">
        <v>151</v>
      </c>
      <c r="M173" s="203">
        <v>6.7000000000000004E-2</v>
      </c>
      <c r="N173" s="203">
        <v>6.5000000000000002E-2</v>
      </c>
      <c r="O173" s="203">
        <v>2E-3</v>
      </c>
      <c r="P173" s="174"/>
    </row>
    <row r="174" spans="1:16" ht="11.5">
      <c r="A174" s="1"/>
      <c r="B174" s="175"/>
      <c r="C174" s="84" t="s">
        <v>144</v>
      </c>
      <c r="D174" s="84" t="s">
        <v>145</v>
      </c>
      <c r="E174" s="167">
        <v>2.1000000000000001E-2</v>
      </c>
      <c r="F174" s="167">
        <v>1.9E-2</v>
      </c>
      <c r="G174" s="85">
        <v>2E-3</v>
      </c>
      <c r="H174" s="174"/>
      <c r="J174" s="175"/>
      <c r="K174" s="201" t="s">
        <v>180</v>
      </c>
      <c r="L174" s="201" t="s">
        <v>181</v>
      </c>
      <c r="M174" s="203">
        <v>6.4000000000000001E-2</v>
      </c>
      <c r="N174" s="203">
        <v>1.4E-2</v>
      </c>
      <c r="O174" s="203">
        <v>0.05</v>
      </c>
      <c r="P174" s="174"/>
    </row>
    <row r="175" spans="1:16" ht="11.5">
      <c r="A175" s="1"/>
      <c r="B175" s="175"/>
      <c r="C175" s="84" t="s">
        <v>148</v>
      </c>
      <c r="D175" s="84" t="s">
        <v>149</v>
      </c>
      <c r="E175" s="168">
        <v>2E-3</v>
      </c>
      <c r="F175" s="168">
        <v>1E-3</v>
      </c>
      <c r="G175" s="168">
        <v>1E-3</v>
      </c>
      <c r="H175" s="174"/>
      <c r="J175" s="175"/>
      <c r="K175" s="201" t="s">
        <v>186</v>
      </c>
      <c r="L175" s="201" t="s">
        <v>187</v>
      </c>
      <c r="M175" s="203">
        <v>5.5E-2</v>
      </c>
      <c r="N175" s="203">
        <v>2.5000000000000001E-2</v>
      </c>
      <c r="O175" s="203">
        <v>0.03</v>
      </c>
      <c r="P175" s="174"/>
    </row>
    <row r="176" spans="1:16" ht="11.5">
      <c r="A176" s="1"/>
      <c r="B176" s="175"/>
      <c r="C176" s="84" t="s">
        <v>152</v>
      </c>
      <c r="D176" s="84" t="s">
        <v>153</v>
      </c>
      <c r="E176" s="168">
        <v>3.0000000000000001E-3</v>
      </c>
      <c r="F176" s="168">
        <v>3.0000000000000001E-3</v>
      </c>
      <c r="G176" s="85">
        <v>0</v>
      </c>
      <c r="H176" s="174"/>
      <c r="J176" s="175"/>
      <c r="K176" s="201" t="s">
        <v>188</v>
      </c>
      <c r="L176" s="201" t="s">
        <v>189</v>
      </c>
      <c r="M176" s="203">
        <v>5.0999999999999997E-2</v>
      </c>
      <c r="N176" s="203">
        <v>6.0000000000000001E-3</v>
      </c>
      <c r="O176" s="203">
        <v>4.4999999999999998E-2</v>
      </c>
      <c r="P176" s="174"/>
    </row>
    <row r="177" spans="1:16" ht="11.5">
      <c r="A177" s="1"/>
      <c r="B177" s="175"/>
      <c r="C177" s="84" t="s">
        <v>156</v>
      </c>
      <c r="D177" s="84" t="s">
        <v>157</v>
      </c>
      <c r="E177" s="168">
        <v>0</v>
      </c>
      <c r="F177" s="168">
        <v>1E-3</v>
      </c>
      <c r="G177" s="85">
        <v>0</v>
      </c>
      <c r="H177" s="174"/>
      <c r="J177" s="175"/>
      <c r="K177" s="201" t="s">
        <v>134</v>
      </c>
      <c r="L177" s="201" t="s">
        <v>135</v>
      </c>
      <c r="M177" s="203">
        <v>4.9000000000000002E-2</v>
      </c>
      <c r="N177" s="203">
        <v>4.8000000000000001E-2</v>
      </c>
      <c r="O177" s="203">
        <v>2E-3</v>
      </c>
      <c r="P177" s="174"/>
    </row>
    <row r="178" spans="1:16" ht="11.5">
      <c r="A178" s="1"/>
      <c r="B178" s="175"/>
      <c r="C178" s="84" t="s">
        <v>160</v>
      </c>
      <c r="D178" s="84" t="s">
        <v>161</v>
      </c>
      <c r="E178" s="168">
        <v>1.4E-2</v>
      </c>
      <c r="F178" s="168">
        <v>1.4E-2</v>
      </c>
      <c r="G178" s="168">
        <v>0</v>
      </c>
      <c r="H178" s="174"/>
      <c r="J178" s="175"/>
      <c r="K178" s="201" t="s">
        <v>168</v>
      </c>
      <c r="L178" s="201" t="s">
        <v>169</v>
      </c>
      <c r="M178" s="203">
        <v>4.8000000000000001E-2</v>
      </c>
      <c r="N178" s="203">
        <v>4.8000000000000001E-2</v>
      </c>
      <c r="O178" s="203">
        <v>0</v>
      </c>
      <c r="P178" s="174"/>
    </row>
    <row r="179" spans="1:16" ht="11.5">
      <c r="A179" s="1"/>
      <c r="B179" s="175"/>
      <c r="C179" s="84" t="s">
        <v>162</v>
      </c>
      <c r="D179" s="84" t="s">
        <v>163</v>
      </c>
      <c r="E179" s="168">
        <v>0.03</v>
      </c>
      <c r="F179" s="168">
        <v>2.8000000000000001E-2</v>
      </c>
      <c r="G179" s="168">
        <v>2E-3</v>
      </c>
      <c r="H179" s="174"/>
      <c r="J179" s="175"/>
      <c r="K179" s="201" t="s">
        <v>184</v>
      </c>
      <c r="L179" s="201" t="s">
        <v>185</v>
      </c>
      <c r="M179" s="203">
        <v>4.3999999999999997E-2</v>
      </c>
      <c r="N179" s="203">
        <v>1.7000000000000001E-2</v>
      </c>
      <c r="O179" s="203">
        <v>2.7E-2</v>
      </c>
      <c r="P179" s="174"/>
    </row>
    <row r="180" spans="1:16" ht="11.5">
      <c r="A180" s="1"/>
      <c r="B180" s="175"/>
      <c r="C180" s="84" t="s">
        <v>166</v>
      </c>
      <c r="D180" s="84" t="s">
        <v>167</v>
      </c>
      <c r="E180" s="168">
        <v>1.2E-2</v>
      </c>
      <c r="F180" s="168">
        <v>1.6E-2</v>
      </c>
      <c r="G180" s="168">
        <v>-4.0000000000000001E-3</v>
      </c>
      <c r="H180" s="174"/>
      <c r="J180" s="175"/>
      <c r="K180" s="201" t="s">
        <v>164</v>
      </c>
      <c r="L180" s="201" t="s">
        <v>165</v>
      </c>
      <c r="M180" s="203">
        <v>4.1000000000000002E-2</v>
      </c>
      <c r="N180" s="203">
        <v>3.2000000000000001E-2</v>
      </c>
      <c r="O180" s="203">
        <v>8.9999999999999993E-3</v>
      </c>
      <c r="P180" s="174"/>
    </row>
    <row r="181" spans="1:16" ht="11.5">
      <c r="A181" s="1"/>
      <c r="B181" s="175"/>
      <c r="C181" s="84" t="s">
        <v>170</v>
      </c>
      <c r="D181" s="84" t="s">
        <v>171</v>
      </c>
      <c r="E181" s="168">
        <v>7.0000000000000001E-3</v>
      </c>
      <c r="F181" s="168">
        <v>5.0000000000000001E-3</v>
      </c>
      <c r="G181" s="168">
        <v>1E-3</v>
      </c>
      <c r="H181" s="174"/>
      <c r="J181" s="175"/>
      <c r="K181" s="201" t="s">
        <v>146</v>
      </c>
      <c r="L181" s="201" t="s">
        <v>147</v>
      </c>
      <c r="M181" s="203">
        <v>3.3000000000000002E-2</v>
      </c>
      <c r="N181" s="203">
        <v>3.3000000000000002E-2</v>
      </c>
      <c r="O181" s="203">
        <v>0</v>
      </c>
      <c r="P181" s="174"/>
    </row>
    <row r="182" spans="1:16" ht="11.5">
      <c r="A182" s="1"/>
      <c r="B182" s="175"/>
      <c r="C182" s="84" t="s">
        <v>172</v>
      </c>
      <c r="D182" s="84" t="s">
        <v>173</v>
      </c>
      <c r="E182" s="168">
        <v>4.0000000000000001E-3</v>
      </c>
      <c r="F182" s="168">
        <v>3.0000000000000001E-3</v>
      </c>
      <c r="G182" s="85">
        <v>1E-3</v>
      </c>
      <c r="H182" s="174"/>
      <c r="J182" s="175"/>
      <c r="K182" s="201" t="s">
        <v>178</v>
      </c>
      <c r="L182" s="201" t="s">
        <v>179</v>
      </c>
      <c r="M182" s="203">
        <v>3.1E-2</v>
      </c>
      <c r="N182" s="203">
        <v>2.9000000000000001E-2</v>
      </c>
      <c r="O182" s="203">
        <v>2E-3</v>
      </c>
      <c r="P182" s="174"/>
    </row>
    <row r="183" spans="1:16" ht="11.5">
      <c r="A183" s="1"/>
      <c r="B183" s="175"/>
      <c r="C183" s="84" t="s">
        <v>176</v>
      </c>
      <c r="D183" s="84" t="s">
        <v>177</v>
      </c>
      <c r="E183" s="168">
        <v>5.0000000000000001E-3</v>
      </c>
      <c r="F183" s="168">
        <v>1E-3</v>
      </c>
      <c r="G183" s="168">
        <v>4.0000000000000001E-3</v>
      </c>
      <c r="H183" s="174"/>
      <c r="J183" s="175"/>
      <c r="K183" s="201" t="s">
        <v>162</v>
      </c>
      <c r="L183" s="201" t="s">
        <v>163</v>
      </c>
      <c r="M183" s="203">
        <v>0.03</v>
      </c>
      <c r="N183" s="203">
        <v>2.8000000000000001E-2</v>
      </c>
      <c r="O183" s="203">
        <v>2E-3</v>
      </c>
      <c r="P183" s="174"/>
    </row>
    <row r="184" spans="1:16" ht="11.5">
      <c r="A184" s="1"/>
      <c r="B184" s="175"/>
      <c r="C184" s="84" t="s">
        <v>180</v>
      </c>
      <c r="D184" s="84" t="s">
        <v>181</v>
      </c>
      <c r="E184" s="168">
        <v>6.4000000000000001E-2</v>
      </c>
      <c r="F184" s="168">
        <v>1.4E-2</v>
      </c>
      <c r="G184" s="168">
        <v>0.05</v>
      </c>
      <c r="H184" s="174"/>
      <c r="J184" s="175"/>
      <c r="K184" s="201" t="s">
        <v>142</v>
      </c>
      <c r="L184" s="201" t="s">
        <v>143</v>
      </c>
      <c r="M184" s="203">
        <v>2.9000000000000001E-2</v>
      </c>
      <c r="N184" s="203">
        <v>2.9000000000000001E-2</v>
      </c>
      <c r="O184" s="203">
        <v>0</v>
      </c>
      <c r="P184" s="174"/>
    </row>
    <row r="185" spans="1:16" ht="11.5">
      <c r="A185" s="1"/>
      <c r="B185" s="175"/>
      <c r="C185" s="84" t="s">
        <v>184</v>
      </c>
      <c r="D185" s="84" t="s">
        <v>185</v>
      </c>
      <c r="E185" s="168">
        <v>4.3999999999999997E-2</v>
      </c>
      <c r="F185" s="168">
        <v>1.7000000000000001E-2</v>
      </c>
      <c r="G185" s="168">
        <v>2.7E-2</v>
      </c>
      <c r="H185" s="174"/>
      <c r="J185" s="175"/>
      <c r="K185" s="201" t="s">
        <v>190</v>
      </c>
      <c r="L185" s="201" t="s">
        <v>191</v>
      </c>
      <c r="M185" s="203">
        <v>2.7E-2</v>
      </c>
      <c r="N185" s="203">
        <v>1E-3</v>
      </c>
      <c r="O185" s="203">
        <v>2.5999999999999999E-2</v>
      </c>
      <c r="P185" s="174"/>
    </row>
    <row r="186" spans="1:16" ht="11.5">
      <c r="A186" s="1"/>
      <c r="B186" s="175"/>
      <c r="C186" s="84" t="s">
        <v>186</v>
      </c>
      <c r="D186" s="84" t="s">
        <v>187</v>
      </c>
      <c r="E186" s="168">
        <v>5.5E-2</v>
      </c>
      <c r="F186" s="167">
        <v>2.5000000000000001E-2</v>
      </c>
      <c r="G186" s="168">
        <v>0.03</v>
      </c>
      <c r="H186" s="174"/>
      <c r="J186" s="175"/>
      <c r="K186" s="201" t="s">
        <v>194</v>
      </c>
      <c r="L186" s="201" t="s">
        <v>195</v>
      </c>
      <c r="M186" s="203">
        <v>2.7E-2</v>
      </c>
      <c r="N186" s="203">
        <v>1E-3</v>
      </c>
      <c r="O186" s="203">
        <v>2.5999999999999999E-2</v>
      </c>
      <c r="P186" s="174"/>
    </row>
    <row r="187" spans="1:16" ht="11.5">
      <c r="A187" s="1"/>
      <c r="B187" s="175"/>
      <c r="C187" s="84" t="s">
        <v>174</v>
      </c>
      <c r="D187" s="84" t="s">
        <v>175</v>
      </c>
      <c r="E187" s="168">
        <v>7.2999999999999995E-2</v>
      </c>
      <c r="F187" s="168">
        <v>2E-3</v>
      </c>
      <c r="G187" s="168">
        <v>7.0999999999999994E-2</v>
      </c>
      <c r="H187" s="174"/>
      <c r="J187" s="175"/>
      <c r="K187" s="201" t="s">
        <v>144</v>
      </c>
      <c r="L187" s="201" t="s">
        <v>145</v>
      </c>
      <c r="M187" s="203">
        <v>2.1000000000000001E-2</v>
      </c>
      <c r="N187" s="203">
        <v>1.9E-2</v>
      </c>
      <c r="O187" s="203">
        <v>2E-3</v>
      </c>
      <c r="P187" s="174"/>
    </row>
    <row r="188" spans="1:16" ht="11.5">
      <c r="A188" s="1"/>
      <c r="B188" s="175"/>
      <c r="C188" s="84" t="s">
        <v>158</v>
      </c>
      <c r="D188" s="84" t="s">
        <v>159</v>
      </c>
      <c r="E188" s="168">
        <v>0.11899999999999999</v>
      </c>
      <c r="F188" s="168">
        <v>5.8999999999999997E-2</v>
      </c>
      <c r="G188" s="168">
        <v>0.06</v>
      </c>
      <c r="H188" s="174"/>
      <c r="J188" s="175"/>
      <c r="K188" s="201" t="s">
        <v>140</v>
      </c>
      <c r="L188" s="201" t="s">
        <v>141</v>
      </c>
      <c r="M188" s="203">
        <v>1.7999999999999999E-2</v>
      </c>
      <c r="N188" s="203">
        <v>1.7999999999999999E-2</v>
      </c>
      <c r="O188" s="203">
        <v>0</v>
      </c>
      <c r="P188" s="174"/>
    </row>
    <row r="189" spans="1:16" ht="11.5">
      <c r="A189" s="1"/>
      <c r="B189" s="175"/>
      <c r="C189" s="84" t="s">
        <v>190</v>
      </c>
      <c r="D189" s="84" t="s">
        <v>191</v>
      </c>
      <c r="E189" s="168">
        <v>2.7E-2</v>
      </c>
      <c r="F189" s="168">
        <v>1E-3</v>
      </c>
      <c r="G189" s="168">
        <v>2.5999999999999999E-2</v>
      </c>
      <c r="H189" s="174"/>
      <c r="J189" s="175"/>
      <c r="K189" s="201" t="s">
        <v>202</v>
      </c>
      <c r="L189" s="201" t="s">
        <v>203</v>
      </c>
      <c r="M189" s="203">
        <v>1.6E-2</v>
      </c>
      <c r="N189" s="203">
        <v>1.4E-2</v>
      </c>
      <c r="O189" s="203">
        <v>2E-3</v>
      </c>
      <c r="P189" s="174"/>
    </row>
    <row r="190" spans="1:16" ht="11.5">
      <c r="A190" s="1"/>
      <c r="B190" s="175"/>
      <c r="C190" s="84" t="s">
        <v>182</v>
      </c>
      <c r="D190" s="84" t="s">
        <v>183</v>
      </c>
      <c r="E190" s="168">
        <v>7.5999999999999998E-2</v>
      </c>
      <c r="F190" s="167">
        <v>4.9000000000000002E-2</v>
      </c>
      <c r="G190" s="168">
        <v>2.8000000000000001E-2</v>
      </c>
      <c r="H190" s="174"/>
      <c r="J190" s="175"/>
      <c r="K190" s="201" t="s">
        <v>236</v>
      </c>
      <c r="L190" s="201" t="s">
        <v>237</v>
      </c>
      <c r="M190" s="203">
        <v>1.6E-2</v>
      </c>
      <c r="N190" s="203">
        <v>2E-3</v>
      </c>
      <c r="O190" s="203">
        <v>1.4E-2</v>
      </c>
      <c r="P190" s="174"/>
    </row>
    <row r="191" spans="1:16" ht="11.5">
      <c r="A191" s="1"/>
      <c r="B191" s="175"/>
      <c r="C191" s="84" t="s">
        <v>194</v>
      </c>
      <c r="D191" s="84" t="s">
        <v>195</v>
      </c>
      <c r="E191" s="168">
        <v>2.7E-2</v>
      </c>
      <c r="F191" s="168">
        <v>1E-3</v>
      </c>
      <c r="G191" s="168">
        <v>2.5999999999999999E-2</v>
      </c>
      <c r="H191" s="174"/>
      <c r="J191" s="175"/>
      <c r="K191" s="201" t="s">
        <v>160</v>
      </c>
      <c r="L191" s="201" t="s">
        <v>161</v>
      </c>
      <c r="M191" s="203">
        <v>1.4E-2</v>
      </c>
      <c r="N191" s="203">
        <v>1.4E-2</v>
      </c>
      <c r="O191" s="203">
        <v>0</v>
      </c>
      <c r="P191" s="174"/>
    </row>
    <row r="192" spans="1:16" ht="11.5">
      <c r="A192" s="1"/>
      <c r="B192" s="175"/>
      <c r="C192" s="84" t="s">
        <v>140</v>
      </c>
      <c r="D192" s="84" t="s">
        <v>141</v>
      </c>
      <c r="E192" s="168">
        <v>1.7999999999999999E-2</v>
      </c>
      <c r="F192" s="168">
        <v>1.7999999999999999E-2</v>
      </c>
      <c r="G192" s="85">
        <v>0</v>
      </c>
      <c r="H192" s="174"/>
      <c r="J192" s="175"/>
      <c r="K192" s="201" t="s">
        <v>154</v>
      </c>
      <c r="L192" s="201" t="s">
        <v>155</v>
      </c>
      <c r="M192" s="203">
        <v>1.2999999999999999E-2</v>
      </c>
      <c r="N192" s="203">
        <v>1.2999999999999999E-2</v>
      </c>
      <c r="O192" s="203">
        <v>0</v>
      </c>
      <c r="P192" s="174"/>
    </row>
    <row r="193" spans="1:16" ht="11.5">
      <c r="A193" s="1"/>
      <c r="B193" s="175"/>
      <c r="C193" s="84" t="s">
        <v>196</v>
      </c>
      <c r="D193" s="84" t="s">
        <v>197</v>
      </c>
      <c r="E193" s="168">
        <v>3.0000000000000001E-3</v>
      </c>
      <c r="F193" s="168">
        <v>3.0000000000000001E-3</v>
      </c>
      <c r="G193" s="85">
        <v>0</v>
      </c>
      <c r="H193" s="174"/>
      <c r="J193" s="175"/>
      <c r="K193" s="201" t="s">
        <v>192</v>
      </c>
      <c r="L193" s="201" t="s">
        <v>193</v>
      </c>
      <c r="M193" s="203">
        <v>1.2999999999999999E-2</v>
      </c>
      <c r="N193" s="203">
        <v>1.2999999999999999E-2</v>
      </c>
      <c r="O193" s="203">
        <v>0</v>
      </c>
      <c r="P193" s="174"/>
    </row>
    <row r="194" spans="1:16" ht="11.5">
      <c r="A194" s="1"/>
      <c r="B194" s="175"/>
      <c r="C194" s="84" t="s">
        <v>198</v>
      </c>
      <c r="D194" s="84" t="s">
        <v>199</v>
      </c>
      <c r="E194" s="168">
        <v>1.2E-2</v>
      </c>
      <c r="F194" s="168">
        <v>1.2E-2</v>
      </c>
      <c r="G194" s="168">
        <v>0</v>
      </c>
      <c r="H194" s="174"/>
      <c r="J194" s="175"/>
      <c r="K194" s="201" t="s">
        <v>166</v>
      </c>
      <c r="L194" s="201" t="s">
        <v>167</v>
      </c>
      <c r="M194" s="203">
        <v>1.2E-2</v>
      </c>
      <c r="N194" s="203">
        <v>1.6E-2</v>
      </c>
      <c r="O194" s="203">
        <v>-4.0000000000000001E-3</v>
      </c>
      <c r="P194" s="174"/>
    </row>
    <row r="195" spans="1:16" ht="11.5">
      <c r="A195" s="1"/>
      <c r="B195" s="175"/>
      <c r="C195" s="84" t="s">
        <v>130</v>
      </c>
      <c r="D195" s="84" t="s">
        <v>131</v>
      </c>
      <c r="E195" s="168">
        <v>0.219</v>
      </c>
      <c r="F195" s="168">
        <v>0.01</v>
      </c>
      <c r="G195" s="168">
        <v>0.20899999999999999</v>
      </c>
      <c r="H195" s="174"/>
      <c r="J195" s="175"/>
      <c r="K195" s="201" t="s">
        <v>198</v>
      </c>
      <c r="L195" s="201" t="s">
        <v>199</v>
      </c>
      <c r="M195" s="203">
        <v>1.2E-2</v>
      </c>
      <c r="N195" s="203">
        <v>1.2E-2</v>
      </c>
      <c r="O195" s="203">
        <v>0</v>
      </c>
      <c r="P195" s="174"/>
    </row>
    <row r="196" spans="1:16" ht="11.5">
      <c r="A196" s="1"/>
      <c r="B196" s="175"/>
      <c r="C196" s="84" t="s">
        <v>202</v>
      </c>
      <c r="D196" s="84" t="s">
        <v>203</v>
      </c>
      <c r="E196" s="167">
        <v>1.6E-2</v>
      </c>
      <c r="F196" s="168">
        <v>1.4E-2</v>
      </c>
      <c r="G196" s="168">
        <v>2E-3</v>
      </c>
      <c r="H196" s="174"/>
      <c r="J196" s="175"/>
      <c r="K196" s="201" t="s">
        <v>210</v>
      </c>
      <c r="L196" s="201" t="s">
        <v>211</v>
      </c>
      <c r="M196" s="203">
        <v>1.0999999999999999E-2</v>
      </c>
      <c r="N196" s="203">
        <v>0</v>
      </c>
      <c r="O196" s="203">
        <v>1.0999999999999999E-2</v>
      </c>
      <c r="P196" s="174"/>
    </row>
    <row r="197" spans="1:16" ht="11.5">
      <c r="A197" s="1"/>
      <c r="B197" s="175"/>
      <c r="C197" s="84" t="s">
        <v>164</v>
      </c>
      <c r="D197" s="84" t="s">
        <v>165</v>
      </c>
      <c r="E197" s="168">
        <v>4.1000000000000002E-2</v>
      </c>
      <c r="F197" s="168">
        <v>3.2000000000000001E-2</v>
      </c>
      <c r="G197" s="168">
        <v>8.9999999999999993E-3</v>
      </c>
      <c r="H197" s="174"/>
      <c r="J197" s="175"/>
      <c r="K197" s="201" t="s">
        <v>200</v>
      </c>
      <c r="L197" s="201" t="s">
        <v>201</v>
      </c>
      <c r="M197" s="203">
        <v>0.01</v>
      </c>
      <c r="N197" s="203">
        <v>0.01</v>
      </c>
      <c r="O197" s="203">
        <v>0</v>
      </c>
      <c r="P197" s="174"/>
    </row>
    <row r="198" spans="1:16" ht="11.5">
      <c r="A198" s="1"/>
      <c r="B198" s="175"/>
      <c r="C198" s="84" t="s">
        <v>178</v>
      </c>
      <c r="D198" s="84" t="s">
        <v>179</v>
      </c>
      <c r="E198" s="168">
        <v>3.1E-2</v>
      </c>
      <c r="F198" s="168">
        <v>2.9000000000000001E-2</v>
      </c>
      <c r="G198" s="168">
        <v>2E-3</v>
      </c>
      <c r="H198" s="174"/>
      <c r="J198" s="175"/>
      <c r="K198" s="201" t="s">
        <v>206</v>
      </c>
      <c r="L198" s="201" t="s">
        <v>207</v>
      </c>
      <c r="M198" s="203">
        <v>8.0000000000000002E-3</v>
      </c>
      <c r="N198" s="203">
        <v>8.0000000000000002E-3</v>
      </c>
      <c r="O198" s="203">
        <v>0</v>
      </c>
      <c r="P198" s="174"/>
    </row>
    <row r="199" spans="1:16" ht="11.5">
      <c r="A199" s="1"/>
      <c r="B199" s="175"/>
      <c r="C199" s="84" t="s">
        <v>154</v>
      </c>
      <c r="D199" s="84" t="s">
        <v>155</v>
      </c>
      <c r="E199" s="168">
        <v>1.2999999999999999E-2</v>
      </c>
      <c r="F199" s="168">
        <v>1.2999999999999999E-2</v>
      </c>
      <c r="G199" s="85">
        <v>0</v>
      </c>
      <c r="H199" s="174"/>
      <c r="J199" s="175"/>
      <c r="K199" s="201" t="s">
        <v>216</v>
      </c>
      <c r="L199" s="201" t="s">
        <v>217</v>
      </c>
      <c r="M199" s="203">
        <v>8.0000000000000002E-3</v>
      </c>
      <c r="N199" s="203">
        <v>7.0000000000000001E-3</v>
      </c>
      <c r="O199" s="203">
        <v>0</v>
      </c>
      <c r="P199" s="174"/>
    </row>
    <row r="200" spans="1:16" ht="11.5">
      <c r="A200" s="1"/>
      <c r="B200" s="175"/>
      <c r="C200" s="84" t="s">
        <v>204</v>
      </c>
      <c r="D200" s="84" t="s">
        <v>205</v>
      </c>
      <c r="E200" s="168">
        <v>1E-3</v>
      </c>
      <c r="F200" s="168">
        <v>1E-3</v>
      </c>
      <c r="G200" s="85">
        <v>0</v>
      </c>
      <c r="H200" s="174"/>
      <c r="J200" s="175"/>
      <c r="K200" s="201" t="s">
        <v>170</v>
      </c>
      <c r="L200" s="201" t="s">
        <v>171</v>
      </c>
      <c r="M200" s="203">
        <v>7.0000000000000001E-3</v>
      </c>
      <c r="N200" s="203">
        <v>5.0000000000000001E-3</v>
      </c>
      <c r="O200" s="203">
        <v>1E-3</v>
      </c>
      <c r="P200" s="174"/>
    </row>
    <row r="201" spans="1:16" ht="11.5">
      <c r="A201" s="1"/>
      <c r="B201" s="175"/>
      <c r="C201" s="84" t="s">
        <v>208</v>
      </c>
      <c r="D201" s="84" t="s">
        <v>209</v>
      </c>
      <c r="E201" s="168">
        <v>3.0000000000000001E-3</v>
      </c>
      <c r="F201" s="168">
        <v>3.0000000000000001E-3</v>
      </c>
      <c r="G201" s="85">
        <v>0</v>
      </c>
      <c r="H201" s="174"/>
      <c r="J201" s="175"/>
      <c r="K201" s="201" t="s">
        <v>234</v>
      </c>
      <c r="L201" s="201" t="s">
        <v>235</v>
      </c>
      <c r="M201" s="203">
        <v>6.0000000000000001E-3</v>
      </c>
      <c r="N201" s="203">
        <v>2E-3</v>
      </c>
      <c r="O201" s="203">
        <v>4.0000000000000001E-3</v>
      </c>
      <c r="P201" s="174"/>
    </row>
    <row r="202" spans="1:16" ht="11.5">
      <c r="A202" s="1"/>
      <c r="B202" s="175"/>
      <c r="C202" s="84" t="s">
        <v>212</v>
      </c>
      <c r="D202" s="84" t="s">
        <v>213</v>
      </c>
      <c r="E202" s="168">
        <v>4.0000000000000001E-3</v>
      </c>
      <c r="F202" s="168">
        <v>4.0000000000000001E-3</v>
      </c>
      <c r="G202" s="85">
        <v>0</v>
      </c>
      <c r="H202" s="174"/>
      <c r="J202" s="175"/>
      <c r="K202" s="201" t="s">
        <v>244</v>
      </c>
      <c r="L202" s="201" t="s">
        <v>245</v>
      </c>
      <c r="M202" s="203">
        <v>6.0000000000000001E-3</v>
      </c>
      <c r="N202" s="203">
        <v>5.0000000000000001E-3</v>
      </c>
      <c r="O202" s="203">
        <v>1E-3</v>
      </c>
      <c r="P202" s="174"/>
    </row>
    <row r="203" spans="1:16" ht="11.5">
      <c r="A203" s="1"/>
      <c r="B203" s="175"/>
      <c r="C203" s="84" t="s">
        <v>214</v>
      </c>
      <c r="D203" s="84" t="s">
        <v>215</v>
      </c>
      <c r="E203" s="85">
        <v>0</v>
      </c>
      <c r="F203" s="85">
        <v>0</v>
      </c>
      <c r="G203" s="85">
        <v>0</v>
      </c>
      <c r="H203" s="174"/>
      <c r="J203" s="175"/>
      <c r="K203" s="201" t="s">
        <v>224</v>
      </c>
      <c r="L203" s="201" t="s">
        <v>225</v>
      </c>
      <c r="M203" s="203">
        <v>6.0000000000000001E-3</v>
      </c>
      <c r="N203" s="203">
        <v>6.0000000000000001E-3</v>
      </c>
      <c r="O203" s="203">
        <v>0</v>
      </c>
      <c r="P203" s="174"/>
    </row>
    <row r="204" spans="1:16" ht="11.5">
      <c r="A204" s="1"/>
      <c r="B204" s="175"/>
      <c r="C204" s="84" t="s">
        <v>142</v>
      </c>
      <c r="D204" s="84" t="s">
        <v>143</v>
      </c>
      <c r="E204" s="168">
        <v>2.9000000000000001E-2</v>
      </c>
      <c r="F204" s="168">
        <v>2.9000000000000001E-2</v>
      </c>
      <c r="G204" s="85">
        <v>0</v>
      </c>
      <c r="H204" s="174"/>
      <c r="J204" s="175"/>
      <c r="K204" s="201" t="s">
        <v>128</v>
      </c>
      <c r="L204" s="201" t="s">
        <v>129</v>
      </c>
      <c r="M204" s="203">
        <v>5.0000000000000001E-3</v>
      </c>
      <c r="N204" s="203">
        <v>4.0000000000000001E-3</v>
      </c>
      <c r="O204" s="203">
        <v>1E-3</v>
      </c>
      <c r="P204" s="174"/>
    </row>
    <row r="205" spans="1:16" ht="11.5">
      <c r="A205" s="1"/>
      <c r="B205" s="175"/>
      <c r="C205" s="84" t="s">
        <v>218</v>
      </c>
      <c r="D205" s="84" t="s">
        <v>219</v>
      </c>
      <c r="E205" s="168">
        <v>4.0000000000000001E-3</v>
      </c>
      <c r="F205" s="168">
        <v>3.0000000000000001E-3</v>
      </c>
      <c r="G205" s="168">
        <v>2E-3</v>
      </c>
      <c r="H205" s="174"/>
      <c r="J205" s="175"/>
      <c r="K205" s="201" t="s">
        <v>176</v>
      </c>
      <c r="L205" s="201" t="s">
        <v>177</v>
      </c>
      <c r="M205" s="203">
        <v>5.0000000000000001E-3</v>
      </c>
      <c r="N205" s="203">
        <v>1E-3</v>
      </c>
      <c r="O205" s="203">
        <v>4.0000000000000001E-3</v>
      </c>
      <c r="P205" s="174"/>
    </row>
    <row r="206" spans="1:16" ht="11.5">
      <c r="A206" s="1"/>
      <c r="B206" s="175"/>
      <c r="C206" s="84" t="s">
        <v>222</v>
      </c>
      <c r="D206" s="84" t="s">
        <v>223</v>
      </c>
      <c r="E206" s="168">
        <v>4.0000000000000001E-3</v>
      </c>
      <c r="F206" s="168">
        <v>3.0000000000000001E-3</v>
      </c>
      <c r="G206" s="168">
        <v>1E-3</v>
      </c>
      <c r="H206" s="174"/>
      <c r="J206" s="175"/>
      <c r="K206" s="201" t="s">
        <v>220</v>
      </c>
      <c r="L206" s="201" t="s">
        <v>221</v>
      </c>
      <c r="M206" s="203">
        <v>5.0000000000000001E-3</v>
      </c>
      <c r="N206" s="203">
        <v>5.0000000000000001E-3</v>
      </c>
      <c r="O206" s="203">
        <v>0</v>
      </c>
      <c r="P206" s="174"/>
    </row>
    <row r="207" spans="1:16" ht="11.5">
      <c r="A207" s="1"/>
      <c r="B207" s="175"/>
      <c r="C207" s="84" t="s">
        <v>206</v>
      </c>
      <c r="D207" s="84" t="s">
        <v>207</v>
      </c>
      <c r="E207" s="168">
        <v>8.0000000000000002E-3</v>
      </c>
      <c r="F207" s="168">
        <v>8.0000000000000002E-3</v>
      </c>
      <c r="G207" s="85">
        <v>0</v>
      </c>
      <c r="H207" s="174"/>
      <c r="J207" s="175"/>
      <c r="K207" s="201" t="s">
        <v>172</v>
      </c>
      <c r="L207" s="201" t="s">
        <v>173</v>
      </c>
      <c r="M207" s="203">
        <v>4.0000000000000001E-3</v>
      </c>
      <c r="N207" s="203">
        <v>3.0000000000000001E-3</v>
      </c>
      <c r="O207" s="203">
        <v>1E-3</v>
      </c>
      <c r="P207" s="174"/>
    </row>
    <row r="208" spans="1:16" ht="11.5">
      <c r="A208" s="1"/>
      <c r="B208" s="175"/>
      <c r="C208" s="84" t="s">
        <v>210</v>
      </c>
      <c r="D208" s="84" t="s">
        <v>211</v>
      </c>
      <c r="E208" s="167">
        <v>1.0999999999999999E-2</v>
      </c>
      <c r="F208" s="85">
        <v>0</v>
      </c>
      <c r="G208" s="167">
        <v>1.0999999999999999E-2</v>
      </c>
      <c r="H208" s="174"/>
      <c r="J208" s="175"/>
      <c r="K208" s="201" t="s">
        <v>212</v>
      </c>
      <c r="L208" s="201" t="s">
        <v>213</v>
      </c>
      <c r="M208" s="203">
        <v>4.0000000000000001E-3</v>
      </c>
      <c r="N208" s="203">
        <v>4.0000000000000001E-3</v>
      </c>
      <c r="O208" s="203">
        <v>0</v>
      </c>
      <c r="P208" s="174"/>
    </row>
    <row r="209" spans="1:16" ht="11.5">
      <c r="A209" s="1"/>
      <c r="B209" s="175"/>
      <c r="C209" s="84" t="s">
        <v>228</v>
      </c>
      <c r="D209" s="84" t="s">
        <v>229</v>
      </c>
      <c r="E209" s="168">
        <v>3.0000000000000001E-3</v>
      </c>
      <c r="F209" s="168">
        <v>3.0000000000000001E-3</v>
      </c>
      <c r="G209" s="85">
        <v>0</v>
      </c>
      <c r="H209" s="174"/>
      <c r="J209" s="175"/>
      <c r="K209" s="201" t="s">
        <v>218</v>
      </c>
      <c r="L209" s="201" t="s">
        <v>219</v>
      </c>
      <c r="M209" s="203">
        <v>4.0000000000000001E-3</v>
      </c>
      <c r="N209" s="203">
        <v>3.0000000000000001E-3</v>
      </c>
      <c r="O209" s="203">
        <v>2E-3</v>
      </c>
      <c r="P209" s="174"/>
    </row>
    <row r="210" spans="1:16" ht="11.5">
      <c r="A210" s="1"/>
      <c r="B210" s="175"/>
      <c r="C210" s="84" t="s">
        <v>220</v>
      </c>
      <c r="D210" s="84" t="s">
        <v>221</v>
      </c>
      <c r="E210" s="168">
        <v>5.0000000000000001E-3</v>
      </c>
      <c r="F210" s="168">
        <v>5.0000000000000001E-3</v>
      </c>
      <c r="G210" s="85">
        <v>0</v>
      </c>
      <c r="H210" s="174"/>
      <c r="J210" s="175"/>
      <c r="K210" s="201" t="s">
        <v>222</v>
      </c>
      <c r="L210" s="201" t="s">
        <v>223</v>
      </c>
      <c r="M210" s="203">
        <v>4.0000000000000001E-3</v>
      </c>
      <c r="N210" s="203">
        <v>3.0000000000000001E-3</v>
      </c>
      <c r="O210" s="203">
        <v>1E-3</v>
      </c>
      <c r="P210" s="174"/>
    </row>
    <row r="211" spans="1:16" ht="11.5">
      <c r="A211" s="1"/>
      <c r="B211" s="175"/>
      <c r="C211" s="84" t="s">
        <v>230</v>
      </c>
      <c r="D211" s="84" t="s">
        <v>231</v>
      </c>
      <c r="E211" s="85">
        <v>1E-3</v>
      </c>
      <c r="F211" s="85">
        <v>1E-3</v>
      </c>
      <c r="G211" s="85">
        <v>0</v>
      </c>
      <c r="H211" s="174"/>
      <c r="J211" s="175"/>
      <c r="K211" s="201" t="s">
        <v>248</v>
      </c>
      <c r="L211" s="201" t="s">
        <v>249</v>
      </c>
      <c r="M211" s="203">
        <v>4.0000000000000001E-3</v>
      </c>
      <c r="N211" s="203">
        <v>4.0000000000000001E-3</v>
      </c>
      <c r="O211" s="203">
        <v>0</v>
      </c>
      <c r="P211" s="174"/>
    </row>
    <row r="212" spans="1:16" ht="11.5">
      <c r="A212" s="1"/>
      <c r="B212" s="175"/>
      <c r="C212" s="84" t="s">
        <v>150</v>
      </c>
      <c r="D212" s="84" t="s">
        <v>151</v>
      </c>
      <c r="E212" s="168">
        <v>6.7000000000000004E-2</v>
      </c>
      <c r="F212" s="168">
        <v>6.5000000000000002E-2</v>
      </c>
      <c r="G212" s="168">
        <v>2E-3</v>
      </c>
      <c r="H212" s="174"/>
      <c r="J212" s="175"/>
      <c r="K212" s="201" t="s">
        <v>226</v>
      </c>
      <c r="L212" s="201" t="s">
        <v>227</v>
      </c>
      <c r="M212" s="203">
        <v>4.0000000000000001E-3</v>
      </c>
      <c r="N212" s="203">
        <v>4.0000000000000001E-3</v>
      </c>
      <c r="O212" s="203">
        <v>0</v>
      </c>
      <c r="P212" s="174"/>
    </row>
    <row r="213" spans="1:16" ht="11.5">
      <c r="A213" s="1"/>
      <c r="B213" s="175"/>
      <c r="C213" s="84" t="s">
        <v>234</v>
      </c>
      <c r="D213" s="84" t="s">
        <v>235</v>
      </c>
      <c r="E213" s="168">
        <v>6.0000000000000001E-3</v>
      </c>
      <c r="F213" s="168">
        <v>2E-3</v>
      </c>
      <c r="G213" s="168">
        <v>4.0000000000000001E-3</v>
      </c>
      <c r="H213" s="174"/>
      <c r="J213" s="175"/>
      <c r="K213" s="201" t="s">
        <v>232</v>
      </c>
      <c r="L213" s="201" t="s">
        <v>233</v>
      </c>
      <c r="M213" s="203">
        <v>4.0000000000000001E-3</v>
      </c>
      <c r="N213" s="203">
        <v>4.0000000000000001E-3</v>
      </c>
      <c r="O213" s="203">
        <v>0</v>
      </c>
      <c r="P213" s="174"/>
    </row>
    <row r="214" spans="1:16" ht="11.5">
      <c r="A214" s="1"/>
      <c r="B214" s="175"/>
      <c r="C214" s="84" t="s">
        <v>236</v>
      </c>
      <c r="D214" s="84" t="s">
        <v>237</v>
      </c>
      <c r="E214" s="168">
        <v>1.6E-2</v>
      </c>
      <c r="F214" s="168">
        <v>2E-3</v>
      </c>
      <c r="G214" s="168">
        <v>1.4E-2</v>
      </c>
      <c r="H214" s="174"/>
      <c r="J214" s="175"/>
      <c r="K214" s="201" t="s">
        <v>138</v>
      </c>
      <c r="L214" s="201" t="s">
        <v>139</v>
      </c>
      <c r="M214" s="203">
        <v>3.0000000000000001E-3</v>
      </c>
      <c r="N214" s="203">
        <v>2E-3</v>
      </c>
      <c r="O214" s="203">
        <v>2E-3</v>
      </c>
      <c r="P214" s="174"/>
    </row>
    <row r="215" spans="1:16" ht="11.5">
      <c r="A215" s="1"/>
      <c r="B215" s="175"/>
      <c r="C215" s="84" t="s">
        <v>188</v>
      </c>
      <c r="D215" s="84" t="s">
        <v>189</v>
      </c>
      <c r="E215" s="168">
        <v>5.0999999999999997E-2</v>
      </c>
      <c r="F215" s="168">
        <v>6.0000000000000001E-3</v>
      </c>
      <c r="G215" s="168">
        <v>4.4999999999999998E-2</v>
      </c>
      <c r="H215" s="174"/>
      <c r="J215" s="175"/>
      <c r="K215" s="201" t="s">
        <v>152</v>
      </c>
      <c r="L215" s="201" t="s">
        <v>153</v>
      </c>
      <c r="M215" s="203">
        <v>3.0000000000000001E-3</v>
      </c>
      <c r="N215" s="203">
        <v>3.0000000000000001E-3</v>
      </c>
      <c r="O215" s="203">
        <v>0</v>
      </c>
      <c r="P215" s="174"/>
    </row>
    <row r="216" spans="1:16" ht="11.5">
      <c r="A216" s="1"/>
      <c r="B216" s="175"/>
      <c r="C216" s="84" t="s">
        <v>238</v>
      </c>
      <c r="D216" s="84" t="s">
        <v>239</v>
      </c>
      <c r="E216" s="85">
        <v>0</v>
      </c>
      <c r="F216" s="85">
        <v>0</v>
      </c>
      <c r="G216" s="85">
        <v>0</v>
      </c>
      <c r="H216" s="174"/>
      <c r="J216" s="175"/>
      <c r="K216" s="201" t="s">
        <v>196</v>
      </c>
      <c r="L216" s="201" t="s">
        <v>197</v>
      </c>
      <c r="M216" s="203">
        <v>3.0000000000000001E-3</v>
      </c>
      <c r="N216" s="203">
        <v>3.0000000000000001E-3</v>
      </c>
      <c r="O216" s="203">
        <v>0</v>
      </c>
      <c r="P216" s="174"/>
    </row>
    <row r="217" spans="1:16" ht="11.5">
      <c r="A217" s="1"/>
      <c r="B217" s="175"/>
      <c r="C217" s="84" t="s">
        <v>240</v>
      </c>
      <c r="D217" s="84" t="s">
        <v>241</v>
      </c>
      <c r="E217" s="168">
        <v>1E-3</v>
      </c>
      <c r="F217" s="168">
        <v>1E-3</v>
      </c>
      <c r="G217" s="85">
        <v>0</v>
      </c>
      <c r="H217" s="174"/>
      <c r="J217" s="175"/>
      <c r="K217" s="201" t="s">
        <v>208</v>
      </c>
      <c r="L217" s="201" t="s">
        <v>209</v>
      </c>
      <c r="M217" s="203">
        <v>3.0000000000000001E-3</v>
      </c>
      <c r="N217" s="203">
        <v>3.0000000000000001E-3</v>
      </c>
      <c r="O217" s="203">
        <v>0</v>
      </c>
      <c r="P217" s="174"/>
    </row>
    <row r="218" spans="1:16" ht="11.5">
      <c r="A218" s="1"/>
      <c r="B218" s="175"/>
      <c r="C218" s="84" t="s">
        <v>242</v>
      </c>
      <c r="D218" s="84" t="s">
        <v>243</v>
      </c>
      <c r="E218" s="168">
        <v>2E-3</v>
      </c>
      <c r="F218" s="168">
        <v>2E-3</v>
      </c>
      <c r="G218" s="85">
        <v>0</v>
      </c>
      <c r="H218" s="174"/>
      <c r="J218" s="175"/>
      <c r="K218" s="201" t="s">
        <v>228</v>
      </c>
      <c r="L218" s="201" t="s">
        <v>229</v>
      </c>
      <c r="M218" s="203">
        <v>3.0000000000000001E-3</v>
      </c>
      <c r="N218" s="203">
        <v>3.0000000000000001E-3</v>
      </c>
      <c r="O218" s="203">
        <v>0</v>
      </c>
      <c r="P218" s="174"/>
    </row>
    <row r="219" spans="1:16" ht="11.5">
      <c r="A219" s="1"/>
      <c r="B219" s="175"/>
      <c r="C219" s="84" t="s">
        <v>246</v>
      </c>
      <c r="D219" s="84" t="s">
        <v>247</v>
      </c>
      <c r="E219" s="85">
        <v>0</v>
      </c>
      <c r="F219" s="85">
        <v>0</v>
      </c>
      <c r="G219" s="85">
        <v>0</v>
      </c>
      <c r="H219" s="174"/>
      <c r="J219" s="175"/>
      <c r="K219" s="201" t="s">
        <v>148</v>
      </c>
      <c r="L219" s="201" t="s">
        <v>149</v>
      </c>
      <c r="M219" s="203">
        <v>2E-3</v>
      </c>
      <c r="N219" s="203">
        <v>1E-3</v>
      </c>
      <c r="O219" s="203">
        <v>1E-3</v>
      </c>
      <c r="P219" s="174"/>
    </row>
    <row r="220" spans="1:16" ht="11.5">
      <c r="A220" s="1"/>
      <c r="B220" s="175"/>
      <c r="C220" s="84" t="s">
        <v>248</v>
      </c>
      <c r="D220" s="84" t="s">
        <v>249</v>
      </c>
      <c r="E220" s="168">
        <v>4.0000000000000001E-3</v>
      </c>
      <c r="F220" s="168">
        <v>4.0000000000000001E-3</v>
      </c>
      <c r="G220" s="85">
        <v>0</v>
      </c>
      <c r="H220" s="174"/>
      <c r="J220" s="175"/>
      <c r="K220" s="201" t="s">
        <v>242</v>
      </c>
      <c r="L220" s="201" t="s">
        <v>243</v>
      </c>
      <c r="M220" s="203">
        <v>2E-3</v>
      </c>
      <c r="N220" s="203">
        <v>2E-3</v>
      </c>
      <c r="O220" s="203">
        <v>0</v>
      </c>
      <c r="P220" s="174"/>
    </row>
    <row r="221" spans="1:16" ht="11.5">
      <c r="A221" s="1"/>
      <c r="B221" s="175"/>
      <c r="C221" s="84" t="s">
        <v>244</v>
      </c>
      <c r="D221" s="84" t="s">
        <v>245</v>
      </c>
      <c r="E221" s="168">
        <v>6.0000000000000001E-3</v>
      </c>
      <c r="F221" s="168">
        <v>5.0000000000000001E-3</v>
      </c>
      <c r="G221" s="168">
        <v>1E-3</v>
      </c>
      <c r="H221" s="174"/>
      <c r="J221" s="175"/>
      <c r="K221" s="201" t="s">
        <v>250</v>
      </c>
      <c r="L221" s="201" t="s">
        <v>251</v>
      </c>
      <c r="M221" s="203">
        <v>2E-3</v>
      </c>
      <c r="N221" s="203">
        <v>1E-3</v>
      </c>
      <c r="O221" s="203">
        <v>0</v>
      </c>
      <c r="P221" s="174"/>
    </row>
    <row r="222" spans="1:16" ht="11.5">
      <c r="A222" s="1"/>
      <c r="B222" s="175"/>
      <c r="C222" s="84" t="s">
        <v>146</v>
      </c>
      <c r="D222" s="84" t="s">
        <v>147</v>
      </c>
      <c r="E222" s="168">
        <v>3.3000000000000002E-2</v>
      </c>
      <c r="F222" s="168">
        <v>3.3000000000000002E-2</v>
      </c>
      <c r="G222" s="85">
        <v>0</v>
      </c>
      <c r="H222" s="174"/>
      <c r="J222" s="175"/>
      <c r="K222" s="201" t="s">
        <v>132</v>
      </c>
      <c r="L222" s="201" t="s">
        <v>133</v>
      </c>
      <c r="M222" s="203">
        <v>1E-3</v>
      </c>
      <c r="N222" s="203">
        <v>0</v>
      </c>
      <c r="O222" s="203">
        <v>0</v>
      </c>
      <c r="P222" s="174"/>
    </row>
    <row r="223" spans="1:16" ht="11.5">
      <c r="A223" s="1"/>
      <c r="B223" s="175"/>
      <c r="C223" s="84" t="s">
        <v>192</v>
      </c>
      <c r="D223" s="84" t="s">
        <v>193</v>
      </c>
      <c r="E223" s="168">
        <v>1.2999999999999999E-2</v>
      </c>
      <c r="F223" s="168">
        <v>1.2999999999999999E-2</v>
      </c>
      <c r="G223" s="85">
        <v>0</v>
      </c>
      <c r="H223" s="174"/>
      <c r="J223" s="175"/>
      <c r="K223" s="201" t="s">
        <v>136</v>
      </c>
      <c r="L223" s="201" t="s">
        <v>137</v>
      </c>
      <c r="M223" s="203">
        <v>1E-3</v>
      </c>
      <c r="N223" s="203">
        <v>1E-3</v>
      </c>
      <c r="O223" s="203">
        <v>0</v>
      </c>
      <c r="P223" s="174"/>
    </row>
    <row r="224" spans="1:16" ht="11.5">
      <c r="A224" s="1"/>
      <c r="B224" s="175"/>
      <c r="C224" s="84" t="s">
        <v>168</v>
      </c>
      <c r="D224" s="84" t="s">
        <v>169</v>
      </c>
      <c r="E224" s="168">
        <v>4.8000000000000001E-2</v>
      </c>
      <c r="F224" s="168">
        <v>4.8000000000000001E-2</v>
      </c>
      <c r="G224" s="85">
        <v>0</v>
      </c>
      <c r="H224" s="174"/>
      <c r="J224" s="175"/>
      <c r="K224" s="201" t="s">
        <v>204</v>
      </c>
      <c r="L224" s="201" t="s">
        <v>205</v>
      </c>
      <c r="M224" s="203">
        <v>1E-3</v>
      </c>
      <c r="N224" s="203">
        <v>1E-3</v>
      </c>
      <c r="O224" s="203">
        <v>0</v>
      </c>
      <c r="P224" s="174"/>
    </row>
    <row r="225" spans="1:16" ht="11.5">
      <c r="A225" s="1"/>
      <c r="B225" s="175"/>
      <c r="C225" s="84" t="s">
        <v>200</v>
      </c>
      <c r="D225" s="84" t="s">
        <v>201</v>
      </c>
      <c r="E225" s="167">
        <v>0.01</v>
      </c>
      <c r="F225" s="167">
        <v>0.01</v>
      </c>
      <c r="G225" s="85">
        <v>0</v>
      </c>
      <c r="H225" s="174"/>
      <c r="J225" s="175"/>
      <c r="K225" s="201" t="s">
        <v>230</v>
      </c>
      <c r="L225" s="201" t="s">
        <v>231</v>
      </c>
      <c r="M225" s="203">
        <v>1E-3</v>
      </c>
      <c r="N225" s="203">
        <v>1E-3</v>
      </c>
      <c r="O225" s="203">
        <v>0</v>
      </c>
      <c r="P225" s="174"/>
    </row>
    <row r="226" spans="1:16" ht="11.5">
      <c r="A226" s="1"/>
      <c r="B226" s="175"/>
      <c r="C226" s="84" t="s">
        <v>216</v>
      </c>
      <c r="D226" s="84" t="s">
        <v>217</v>
      </c>
      <c r="E226" s="168">
        <v>8.0000000000000002E-3</v>
      </c>
      <c r="F226" s="168">
        <v>7.0000000000000001E-3</v>
      </c>
      <c r="G226" s="85">
        <v>0</v>
      </c>
      <c r="H226" s="174"/>
      <c r="J226" s="175"/>
      <c r="K226" s="201" t="s">
        <v>240</v>
      </c>
      <c r="L226" s="201" t="s">
        <v>241</v>
      </c>
      <c r="M226" s="203">
        <v>1E-3</v>
      </c>
      <c r="N226" s="203">
        <v>1E-3</v>
      </c>
      <c r="O226" s="203">
        <v>0</v>
      </c>
      <c r="P226" s="174"/>
    </row>
    <row r="227" spans="1:16" ht="11.5">
      <c r="A227" s="1"/>
      <c r="B227" s="175"/>
      <c r="C227" s="84" t="s">
        <v>226</v>
      </c>
      <c r="D227" s="84" t="s">
        <v>227</v>
      </c>
      <c r="E227" s="168">
        <v>4.0000000000000001E-3</v>
      </c>
      <c r="F227" s="168">
        <v>4.0000000000000001E-3</v>
      </c>
      <c r="G227" s="85">
        <v>0</v>
      </c>
      <c r="H227" s="174"/>
      <c r="J227" s="175"/>
      <c r="K227" s="201" t="s">
        <v>156</v>
      </c>
      <c r="L227" s="201" t="s">
        <v>157</v>
      </c>
      <c r="M227" s="203">
        <v>0</v>
      </c>
      <c r="N227" s="203">
        <v>1E-3</v>
      </c>
      <c r="O227" s="203">
        <v>0</v>
      </c>
      <c r="P227" s="174"/>
    </row>
    <row r="228" spans="1:16" ht="11.5">
      <c r="A228" s="1"/>
      <c r="B228" s="175"/>
      <c r="C228" s="84" t="s">
        <v>232</v>
      </c>
      <c r="D228" s="84" t="s">
        <v>233</v>
      </c>
      <c r="E228" s="168">
        <v>4.0000000000000001E-3</v>
      </c>
      <c r="F228" s="168">
        <v>4.0000000000000001E-3</v>
      </c>
      <c r="G228" s="85">
        <v>0</v>
      </c>
      <c r="H228" s="174"/>
      <c r="J228" s="175"/>
      <c r="K228" s="201" t="s">
        <v>214</v>
      </c>
      <c r="L228" s="201" t="s">
        <v>215</v>
      </c>
      <c r="M228" s="203">
        <v>0</v>
      </c>
      <c r="N228" s="203">
        <v>0</v>
      </c>
      <c r="O228" s="203">
        <v>0</v>
      </c>
      <c r="P228" s="174"/>
    </row>
    <row r="229" spans="1:16" ht="11.5">
      <c r="A229" s="1"/>
      <c r="B229" s="175"/>
      <c r="C229" s="84" t="s">
        <v>250</v>
      </c>
      <c r="D229" s="84" t="s">
        <v>251</v>
      </c>
      <c r="E229" s="168">
        <v>2E-3</v>
      </c>
      <c r="F229" s="168">
        <v>1E-3</v>
      </c>
      <c r="G229" s="85">
        <v>0</v>
      </c>
      <c r="H229" s="174"/>
      <c r="J229" s="175"/>
      <c r="K229" s="201" t="s">
        <v>238</v>
      </c>
      <c r="L229" s="201" t="s">
        <v>239</v>
      </c>
      <c r="M229" s="203">
        <v>0</v>
      </c>
      <c r="N229" s="203">
        <v>0</v>
      </c>
      <c r="O229" s="203">
        <v>0</v>
      </c>
      <c r="P229" s="174"/>
    </row>
    <row r="230" spans="1:16" ht="11.5">
      <c r="A230" s="1"/>
      <c r="B230" s="175"/>
      <c r="C230" s="84" t="s">
        <v>224</v>
      </c>
      <c r="D230" s="84" t="s">
        <v>225</v>
      </c>
      <c r="E230" s="168">
        <v>6.0000000000000001E-3</v>
      </c>
      <c r="F230" s="168">
        <v>6.0000000000000001E-3</v>
      </c>
      <c r="G230" s="85">
        <v>0</v>
      </c>
      <c r="H230" s="174"/>
      <c r="J230" s="175"/>
      <c r="K230" s="201" t="s">
        <v>246</v>
      </c>
      <c r="L230" s="201" t="s">
        <v>247</v>
      </c>
      <c r="M230" s="203">
        <v>0</v>
      </c>
      <c r="N230" s="203">
        <v>0</v>
      </c>
      <c r="O230" s="203">
        <v>0</v>
      </c>
      <c r="P230" s="174"/>
    </row>
    <row r="231" spans="1:16" ht="11.5">
      <c r="A231" s="1"/>
      <c r="B231" s="175"/>
      <c r="C231" s="84" t="s">
        <v>252</v>
      </c>
      <c r="D231" s="84" t="s">
        <v>253</v>
      </c>
      <c r="E231" s="85">
        <v>0</v>
      </c>
      <c r="F231" s="85">
        <v>0</v>
      </c>
      <c r="G231" s="85">
        <v>0</v>
      </c>
      <c r="H231" s="174"/>
      <c r="J231" s="175"/>
      <c r="K231" s="201" t="s">
        <v>252</v>
      </c>
      <c r="L231" s="201" t="s">
        <v>253</v>
      </c>
      <c r="M231" s="203">
        <v>0</v>
      </c>
      <c r="N231" s="203">
        <v>0</v>
      </c>
      <c r="O231" s="203">
        <v>0</v>
      </c>
      <c r="P231" s="174"/>
    </row>
    <row r="232" spans="1:16" ht="11.5">
      <c r="A232" s="1"/>
      <c r="B232" s="175"/>
      <c r="C232" s="173"/>
      <c r="D232" s="173"/>
      <c r="E232" s="173"/>
      <c r="F232" s="173"/>
      <c r="G232" s="173"/>
      <c r="H232" s="174"/>
      <c r="J232" s="175"/>
      <c r="K232" s="173"/>
      <c r="L232" s="173"/>
      <c r="M232" s="173"/>
      <c r="N232" s="173"/>
      <c r="O232" s="173"/>
      <c r="P232" s="174"/>
    </row>
    <row r="233" spans="1:16" ht="11.5">
      <c r="A233" s="1"/>
      <c r="B233" s="175"/>
      <c r="C233" s="11" t="s">
        <v>38</v>
      </c>
      <c r="D233" s="173"/>
      <c r="E233" s="173"/>
      <c r="F233" s="173"/>
      <c r="G233" s="173"/>
      <c r="H233" s="174"/>
      <c r="J233" s="175"/>
      <c r="K233" s="11" t="s">
        <v>38</v>
      </c>
      <c r="L233" s="173"/>
      <c r="M233" s="173"/>
      <c r="N233" s="173"/>
      <c r="O233" s="173"/>
      <c r="P233" s="174"/>
    </row>
    <row r="234" spans="1:16" ht="11.5">
      <c r="A234" s="1"/>
      <c r="B234" s="175"/>
      <c r="C234" s="11" t="s">
        <v>36</v>
      </c>
      <c r="D234" s="11" t="s">
        <v>39</v>
      </c>
      <c r="E234" s="173"/>
      <c r="F234" s="173"/>
      <c r="G234" s="173"/>
      <c r="H234" s="174"/>
      <c r="J234" s="175"/>
      <c r="K234" s="11" t="s">
        <v>36</v>
      </c>
      <c r="L234" s="11" t="s">
        <v>39</v>
      </c>
      <c r="M234" s="173"/>
      <c r="N234" s="173"/>
      <c r="O234" s="173"/>
      <c r="P234" s="174"/>
    </row>
    <row r="235" spans="1:16" ht="11.5">
      <c r="A235" s="1"/>
      <c r="B235" s="175"/>
      <c r="C235" s="173"/>
      <c r="D235" s="173"/>
      <c r="E235" s="173"/>
      <c r="F235" s="173"/>
      <c r="G235" s="173"/>
      <c r="H235" s="174"/>
      <c r="J235" s="175"/>
      <c r="K235" s="173"/>
      <c r="L235" s="173"/>
      <c r="M235" s="173"/>
      <c r="N235" s="173"/>
      <c r="O235" s="173"/>
      <c r="P235" s="174"/>
    </row>
    <row r="236" spans="1:16" ht="11.5">
      <c r="A236" s="1"/>
      <c r="B236" s="175"/>
      <c r="C236" s="11" t="s">
        <v>15</v>
      </c>
      <c r="D236" s="11" t="s">
        <v>303</v>
      </c>
      <c r="E236" s="173"/>
      <c r="F236" s="173"/>
      <c r="G236" s="173"/>
      <c r="H236" s="174"/>
      <c r="J236" s="175"/>
      <c r="K236" s="11" t="str">
        <f>C236</f>
        <v>GEO</v>
      </c>
      <c r="L236" s="11" t="str">
        <f>D236</f>
        <v>EU27_2020 - European Union - 27 countries (from 2020)</v>
      </c>
      <c r="M236" s="173"/>
      <c r="N236" s="173"/>
      <c r="O236" s="173"/>
      <c r="P236" s="174"/>
    </row>
    <row r="237" spans="1:16" ht="11.5">
      <c r="A237" s="1"/>
      <c r="B237" s="175"/>
      <c r="C237" s="11" t="s">
        <v>13</v>
      </c>
      <c r="D237" s="11" t="s">
        <v>114</v>
      </c>
      <c r="E237" s="173"/>
      <c r="F237" s="173"/>
      <c r="G237" s="173"/>
      <c r="H237" s="174"/>
      <c r="J237" s="175"/>
      <c r="K237" s="11" t="str">
        <f t="shared" ref="K237:K239" si="12">C237</f>
        <v>UNIT</v>
      </c>
      <c r="L237" s="11" t="str">
        <f t="shared" ref="L237:L239" si="13">D237</f>
        <v>Tonnes per capita</v>
      </c>
      <c r="M237" s="173"/>
      <c r="N237" s="173"/>
      <c r="O237" s="173"/>
      <c r="P237" s="174"/>
    </row>
    <row r="238" spans="1:16" ht="11.5">
      <c r="A238" s="1"/>
      <c r="B238" s="175"/>
      <c r="C238" s="11" t="s">
        <v>118</v>
      </c>
      <c r="D238" s="219">
        <f>Cover!C1</f>
        <v>2019</v>
      </c>
      <c r="E238" s="173"/>
      <c r="F238" s="173"/>
      <c r="G238" s="173"/>
      <c r="H238" s="174"/>
      <c r="J238" s="175"/>
      <c r="K238" s="11" t="str">
        <f t="shared" si="12"/>
        <v>TIME</v>
      </c>
      <c r="L238" s="219">
        <f t="shared" si="13"/>
        <v>2019</v>
      </c>
      <c r="M238" s="173"/>
      <c r="N238" s="173"/>
      <c r="O238" s="173"/>
      <c r="P238" s="174"/>
    </row>
    <row r="239" spans="1:16" ht="11.5">
      <c r="A239" s="1"/>
      <c r="B239" s="175"/>
      <c r="C239" s="11" t="s">
        <v>78</v>
      </c>
      <c r="D239" s="11" t="s">
        <v>256</v>
      </c>
      <c r="E239" s="173"/>
      <c r="F239" s="173"/>
      <c r="G239" s="173"/>
      <c r="H239" s="174"/>
      <c r="J239" s="175"/>
      <c r="K239" s="11" t="str">
        <f t="shared" si="12"/>
        <v>MATERIAL</v>
      </c>
      <c r="L239" s="11" t="str">
        <f t="shared" si="13"/>
        <v>MF3 - Non-metallic minerals</v>
      </c>
      <c r="M239" s="173"/>
      <c r="N239" s="173"/>
      <c r="O239" s="173"/>
      <c r="P239" s="174"/>
    </row>
    <row r="240" spans="1:16" ht="11.5">
      <c r="A240" s="1"/>
      <c r="B240" s="175"/>
      <c r="C240" s="173"/>
      <c r="D240" s="173"/>
      <c r="E240" s="173"/>
      <c r="F240" s="173"/>
      <c r="G240" s="173"/>
      <c r="H240" s="174"/>
      <c r="J240" s="175"/>
      <c r="K240" s="173"/>
      <c r="L240" s="173"/>
      <c r="M240" s="173"/>
      <c r="N240" s="173"/>
      <c r="O240" s="173"/>
      <c r="P240" s="174"/>
    </row>
    <row r="241" spans="1:16" ht="11.5">
      <c r="A241" s="1"/>
      <c r="B241" s="175"/>
      <c r="C241" s="84" t="s">
        <v>120</v>
      </c>
      <c r="D241" s="84" t="s">
        <v>115</v>
      </c>
      <c r="E241" s="84" t="s">
        <v>93</v>
      </c>
      <c r="F241" s="84" t="s">
        <v>121</v>
      </c>
      <c r="G241" s="84" t="s">
        <v>122</v>
      </c>
      <c r="H241" s="174"/>
      <c r="J241" s="175"/>
      <c r="K241" s="196" t="s">
        <v>120</v>
      </c>
      <c r="L241" s="198" t="str">
        <f t="shared" ref="L241:O241" si="14">D241</f>
        <v>INDIC_ENV</v>
      </c>
      <c r="M241" s="198" t="str">
        <f t="shared" si="14"/>
        <v>RMC</v>
      </c>
      <c r="N241" s="198" t="str">
        <f t="shared" si="14"/>
        <v>RMC_P3</v>
      </c>
      <c r="O241" s="198" t="str">
        <f t="shared" si="14"/>
        <v>RMC_P5</v>
      </c>
      <c r="P241" s="174"/>
    </row>
    <row r="242" spans="1:16" ht="11.5">
      <c r="A242" s="1"/>
      <c r="B242" s="175"/>
      <c r="C242" s="84" t="s">
        <v>123</v>
      </c>
      <c r="D242" s="84" t="s">
        <v>124</v>
      </c>
      <c r="E242" s="84" t="s">
        <v>113</v>
      </c>
      <c r="F242" s="84" t="s">
        <v>125</v>
      </c>
      <c r="G242" s="84" t="s">
        <v>126</v>
      </c>
      <c r="H242" s="174"/>
      <c r="J242" s="175"/>
      <c r="K242" s="197" t="str">
        <f t="shared" ref="K242:O243" si="15">C242</f>
        <v>CPA08</v>
      </c>
      <c r="L242" s="199" t="str">
        <f t="shared" si="15"/>
        <v>CPA08(L)/INDIC_ENV(L)</v>
      </c>
      <c r="M242" s="199" t="str">
        <f t="shared" si="15"/>
        <v xml:space="preserve">Raw material consumption </v>
      </c>
      <c r="N242" s="199" t="str">
        <f t="shared" si="15"/>
        <v>Raw material consumption as result of final consumption expenditure</v>
      </c>
      <c r="O242" s="199" t="str">
        <f t="shared" si="15"/>
        <v xml:space="preserve">Raw material consumption as result of gross capital formation </v>
      </c>
      <c r="P242" s="174"/>
    </row>
    <row r="243" spans="1:16" ht="11.5">
      <c r="A243" s="1"/>
      <c r="B243" s="175"/>
      <c r="C243" s="84" t="s">
        <v>82</v>
      </c>
      <c r="D243" s="84" t="s">
        <v>127</v>
      </c>
      <c r="E243" s="168">
        <v>6.8559999999999999</v>
      </c>
      <c r="F243" s="168">
        <v>2.613</v>
      </c>
      <c r="G243" s="168">
        <v>4.242</v>
      </c>
      <c r="H243" s="174"/>
      <c r="J243" s="175"/>
      <c r="K243" s="200" t="str">
        <f t="shared" si="15"/>
        <v>TOTAL</v>
      </c>
      <c r="L243" s="200" t="str">
        <f t="shared" si="15"/>
        <v>Total CPA products</v>
      </c>
      <c r="M243" s="202">
        <f t="shared" si="15"/>
        <v>6.8559999999999999</v>
      </c>
      <c r="N243" s="202">
        <f t="shared" si="15"/>
        <v>2.613</v>
      </c>
      <c r="O243" s="202">
        <f t="shared" si="15"/>
        <v>4.242</v>
      </c>
      <c r="P243" s="174"/>
    </row>
    <row r="244" spans="1:16" ht="11.5">
      <c r="A244" s="1"/>
      <c r="B244" s="175"/>
      <c r="C244" s="84" t="s">
        <v>128</v>
      </c>
      <c r="D244" s="84" t="s">
        <v>129</v>
      </c>
      <c r="E244" s="168">
        <v>4.5999999999999999E-2</v>
      </c>
      <c r="F244" s="168">
        <v>3.5000000000000003E-2</v>
      </c>
      <c r="G244" s="167">
        <v>1.0999999999999999E-2</v>
      </c>
      <c r="H244" s="174"/>
      <c r="J244" s="175"/>
      <c r="K244" s="201" t="s">
        <v>130</v>
      </c>
      <c r="L244" s="201" t="s">
        <v>131</v>
      </c>
      <c r="M244" s="203">
        <v>3.9220000000000002</v>
      </c>
      <c r="N244" s="203">
        <v>0.187</v>
      </c>
      <c r="O244" s="203">
        <v>3.7349999999999999</v>
      </c>
      <c r="P244" s="174"/>
    </row>
    <row r="245" spans="1:16" ht="11.5">
      <c r="A245" s="1"/>
      <c r="B245" s="175"/>
      <c r="C245" s="84" t="s">
        <v>132</v>
      </c>
      <c r="D245" s="84" t="s">
        <v>133</v>
      </c>
      <c r="E245" s="168">
        <v>2E-3</v>
      </c>
      <c r="F245" s="168">
        <v>1E-3</v>
      </c>
      <c r="G245" s="168">
        <v>1E-3</v>
      </c>
      <c r="H245" s="174"/>
      <c r="J245" s="175"/>
      <c r="K245" s="201" t="s">
        <v>146</v>
      </c>
      <c r="L245" s="201" t="s">
        <v>147</v>
      </c>
      <c r="M245" s="203">
        <v>0.376</v>
      </c>
      <c r="N245" s="203">
        <v>0.374</v>
      </c>
      <c r="O245" s="203">
        <v>2E-3</v>
      </c>
      <c r="P245" s="174"/>
    </row>
    <row r="246" spans="1:16" ht="11.5">
      <c r="A246" s="1"/>
      <c r="B246" s="175"/>
      <c r="C246" s="84" t="s">
        <v>136</v>
      </c>
      <c r="D246" s="84" t="s">
        <v>137</v>
      </c>
      <c r="E246" s="168">
        <v>3.0000000000000001E-3</v>
      </c>
      <c r="F246" s="168">
        <v>3.0000000000000001E-3</v>
      </c>
      <c r="G246" s="168">
        <v>0</v>
      </c>
      <c r="H246" s="174"/>
      <c r="J246" s="175"/>
      <c r="K246" s="201" t="s">
        <v>150</v>
      </c>
      <c r="L246" s="201" t="s">
        <v>151</v>
      </c>
      <c r="M246" s="203">
        <v>0.32900000000000001</v>
      </c>
      <c r="N246" s="203">
        <v>0.32100000000000001</v>
      </c>
      <c r="O246" s="203">
        <v>8.0000000000000002E-3</v>
      </c>
      <c r="P246" s="174"/>
    </row>
    <row r="247" spans="1:16" ht="11.5">
      <c r="A247" s="1"/>
      <c r="B247" s="175"/>
      <c r="C247" s="84" t="s">
        <v>138</v>
      </c>
      <c r="D247" s="84" t="s">
        <v>139</v>
      </c>
      <c r="E247" s="168">
        <v>2.9000000000000001E-2</v>
      </c>
      <c r="F247" s="168">
        <v>2.5999999999999999E-2</v>
      </c>
      <c r="G247" s="168">
        <v>2E-3</v>
      </c>
      <c r="H247" s="174"/>
      <c r="J247" s="175"/>
      <c r="K247" s="201" t="s">
        <v>134</v>
      </c>
      <c r="L247" s="201" t="s">
        <v>135</v>
      </c>
      <c r="M247" s="203">
        <v>0.24399999999999999</v>
      </c>
      <c r="N247" s="203">
        <v>0.23499999999999999</v>
      </c>
      <c r="O247" s="203">
        <v>8.9999999999999993E-3</v>
      </c>
      <c r="P247" s="174"/>
    </row>
    <row r="248" spans="1:16" ht="11.5">
      <c r="A248" s="1"/>
      <c r="B248" s="175"/>
      <c r="C248" s="84" t="s">
        <v>134</v>
      </c>
      <c r="D248" s="84" t="s">
        <v>135</v>
      </c>
      <c r="E248" s="168">
        <v>0.24399999999999999</v>
      </c>
      <c r="F248" s="168">
        <v>0.23499999999999999</v>
      </c>
      <c r="G248" s="168">
        <v>8.9999999999999993E-3</v>
      </c>
      <c r="H248" s="174"/>
      <c r="J248" s="175"/>
      <c r="K248" s="201" t="s">
        <v>172</v>
      </c>
      <c r="L248" s="201" t="s">
        <v>173</v>
      </c>
      <c r="M248" s="203">
        <v>0.17599999999999999</v>
      </c>
      <c r="N248" s="203">
        <v>0.151</v>
      </c>
      <c r="O248" s="203">
        <v>2.5000000000000001E-2</v>
      </c>
      <c r="P248" s="174"/>
    </row>
    <row r="249" spans="1:16" ht="11.5">
      <c r="A249" s="1"/>
      <c r="B249" s="175"/>
      <c r="C249" s="84" t="s">
        <v>144</v>
      </c>
      <c r="D249" s="84" t="s">
        <v>145</v>
      </c>
      <c r="E249" s="168">
        <v>4.5999999999999999E-2</v>
      </c>
      <c r="F249" s="168">
        <v>4.1000000000000002E-2</v>
      </c>
      <c r="G249" s="85">
        <v>5.0000000000000001E-3</v>
      </c>
      <c r="H249" s="174"/>
      <c r="J249" s="175"/>
      <c r="K249" s="201" t="s">
        <v>158</v>
      </c>
      <c r="L249" s="201" t="s">
        <v>159</v>
      </c>
      <c r="M249" s="203">
        <v>0.13100000000000001</v>
      </c>
      <c r="N249" s="203">
        <v>6.5000000000000002E-2</v>
      </c>
      <c r="O249" s="203">
        <v>6.7000000000000004E-2</v>
      </c>
      <c r="P249" s="174"/>
    </row>
    <row r="250" spans="1:16" ht="11.5">
      <c r="A250" s="1"/>
      <c r="B250" s="175"/>
      <c r="C250" s="84" t="s">
        <v>148</v>
      </c>
      <c r="D250" s="84" t="s">
        <v>149</v>
      </c>
      <c r="E250" s="168">
        <v>5.0000000000000001E-3</v>
      </c>
      <c r="F250" s="168">
        <v>3.0000000000000001E-3</v>
      </c>
      <c r="G250" s="168">
        <v>2E-3</v>
      </c>
      <c r="H250" s="174"/>
      <c r="J250" s="175"/>
      <c r="K250" s="201" t="s">
        <v>142</v>
      </c>
      <c r="L250" s="201" t="s">
        <v>143</v>
      </c>
      <c r="M250" s="203">
        <v>0.109</v>
      </c>
      <c r="N250" s="203">
        <v>0.109</v>
      </c>
      <c r="O250" s="203">
        <v>0</v>
      </c>
      <c r="P250" s="174"/>
    </row>
    <row r="251" spans="1:16" ht="11.5">
      <c r="A251" s="1"/>
      <c r="B251" s="175"/>
      <c r="C251" s="84" t="s">
        <v>152</v>
      </c>
      <c r="D251" s="84" t="s">
        <v>153</v>
      </c>
      <c r="E251" s="168">
        <v>1.4E-2</v>
      </c>
      <c r="F251" s="168">
        <v>1.6E-2</v>
      </c>
      <c r="G251" s="168">
        <v>-2E-3</v>
      </c>
      <c r="H251" s="174"/>
      <c r="J251" s="175"/>
      <c r="K251" s="201" t="s">
        <v>178</v>
      </c>
      <c r="L251" s="201" t="s">
        <v>179</v>
      </c>
      <c r="M251" s="203">
        <v>0.107</v>
      </c>
      <c r="N251" s="203">
        <v>0.1</v>
      </c>
      <c r="O251" s="203">
        <v>7.0000000000000001E-3</v>
      </c>
      <c r="P251" s="174"/>
    </row>
    <row r="252" spans="1:16" ht="11.5">
      <c r="A252" s="1"/>
      <c r="B252" s="175"/>
      <c r="C252" s="84" t="s">
        <v>156</v>
      </c>
      <c r="D252" s="84" t="s">
        <v>157</v>
      </c>
      <c r="E252" s="168">
        <v>1E-3</v>
      </c>
      <c r="F252" s="168">
        <v>2E-3</v>
      </c>
      <c r="G252" s="85">
        <v>-1E-3</v>
      </c>
      <c r="H252" s="174"/>
      <c r="J252" s="175"/>
      <c r="K252" s="201" t="s">
        <v>164</v>
      </c>
      <c r="L252" s="201" t="s">
        <v>165</v>
      </c>
      <c r="M252" s="203">
        <v>9.9000000000000005E-2</v>
      </c>
      <c r="N252" s="203">
        <v>7.6999999999999999E-2</v>
      </c>
      <c r="O252" s="203">
        <v>2.1999999999999999E-2</v>
      </c>
      <c r="P252" s="174"/>
    </row>
    <row r="253" spans="1:16" ht="11.5">
      <c r="A253" s="1"/>
      <c r="B253" s="175"/>
      <c r="C253" s="84" t="s">
        <v>160</v>
      </c>
      <c r="D253" s="84" t="s">
        <v>161</v>
      </c>
      <c r="E253" s="168">
        <v>0.03</v>
      </c>
      <c r="F253" s="168">
        <v>2.9000000000000001E-2</v>
      </c>
      <c r="G253" s="168">
        <v>1E-3</v>
      </c>
      <c r="H253" s="174"/>
      <c r="J253" s="175"/>
      <c r="K253" s="201" t="s">
        <v>168</v>
      </c>
      <c r="L253" s="201" t="s">
        <v>169</v>
      </c>
      <c r="M253" s="203">
        <v>9.9000000000000005E-2</v>
      </c>
      <c r="N253" s="203">
        <v>9.9000000000000005E-2</v>
      </c>
      <c r="O253" s="203">
        <v>0</v>
      </c>
      <c r="P253" s="174"/>
    </row>
    <row r="254" spans="1:16" ht="11.5">
      <c r="A254" s="1"/>
      <c r="B254" s="175"/>
      <c r="C254" s="84" t="s">
        <v>162</v>
      </c>
      <c r="D254" s="84" t="s">
        <v>163</v>
      </c>
      <c r="E254" s="168">
        <v>7.0999999999999994E-2</v>
      </c>
      <c r="F254" s="168">
        <v>6.6000000000000003E-2</v>
      </c>
      <c r="G254" s="168">
        <v>5.0000000000000001E-3</v>
      </c>
      <c r="H254" s="174"/>
      <c r="J254" s="175"/>
      <c r="K254" s="201" t="s">
        <v>154</v>
      </c>
      <c r="L254" s="201" t="s">
        <v>155</v>
      </c>
      <c r="M254" s="203">
        <v>0.09</v>
      </c>
      <c r="N254" s="203">
        <v>8.6999999999999994E-2</v>
      </c>
      <c r="O254" s="203">
        <v>3.0000000000000001E-3</v>
      </c>
      <c r="P254" s="174"/>
    </row>
    <row r="255" spans="1:16" ht="11.5">
      <c r="A255" s="1"/>
      <c r="B255" s="175"/>
      <c r="C255" s="84" t="s">
        <v>166</v>
      </c>
      <c r="D255" s="84" t="s">
        <v>167</v>
      </c>
      <c r="E255" s="168">
        <v>1.9E-2</v>
      </c>
      <c r="F255" s="168">
        <v>2.5000000000000001E-2</v>
      </c>
      <c r="G255" s="168">
        <v>-6.0000000000000001E-3</v>
      </c>
      <c r="H255" s="174"/>
      <c r="J255" s="175"/>
      <c r="K255" s="201" t="s">
        <v>174</v>
      </c>
      <c r="L255" s="201" t="s">
        <v>175</v>
      </c>
      <c r="M255" s="203">
        <v>0.08</v>
      </c>
      <c r="N255" s="203">
        <v>3.0000000000000001E-3</v>
      </c>
      <c r="O255" s="203">
        <v>7.6999999999999999E-2</v>
      </c>
      <c r="P255" s="174"/>
    </row>
    <row r="256" spans="1:16" ht="11.5">
      <c r="A256" s="1"/>
      <c r="B256" s="175"/>
      <c r="C256" s="84" t="s">
        <v>170</v>
      </c>
      <c r="D256" s="84" t="s">
        <v>171</v>
      </c>
      <c r="E256" s="168">
        <v>1.2999999999999999E-2</v>
      </c>
      <c r="F256" s="168">
        <v>0.01</v>
      </c>
      <c r="G256" s="168">
        <v>3.0000000000000001E-3</v>
      </c>
      <c r="H256" s="174"/>
      <c r="J256" s="175"/>
      <c r="K256" s="201" t="s">
        <v>198</v>
      </c>
      <c r="L256" s="201" t="s">
        <v>199</v>
      </c>
      <c r="M256" s="203">
        <v>7.6999999999999999E-2</v>
      </c>
      <c r="N256" s="203">
        <v>7.6999999999999999E-2</v>
      </c>
      <c r="O256" s="203">
        <v>0</v>
      </c>
      <c r="P256" s="174"/>
    </row>
    <row r="257" spans="1:16" ht="11.5">
      <c r="A257" s="1"/>
      <c r="B257" s="175"/>
      <c r="C257" s="84" t="s">
        <v>172</v>
      </c>
      <c r="D257" s="84" t="s">
        <v>173</v>
      </c>
      <c r="E257" s="168">
        <v>0.17599999999999999</v>
      </c>
      <c r="F257" s="167">
        <v>0.151</v>
      </c>
      <c r="G257" s="168">
        <v>2.5000000000000001E-2</v>
      </c>
      <c r="H257" s="174"/>
      <c r="J257" s="175"/>
      <c r="K257" s="201" t="s">
        <v>162</v>
      </c>
      <c r="L257" s="201" t="s">
        <v>163</v>
      </c>
      <c r="M257" s="203">
        <v>7.0999999999999994E-2</v>
      </c>
      <c r="N257" s="203">
        <v>6.6000000000000003E-2</v>
      </c>
      <c r="O257" s="203">
        <v>5.0000000000000001E-3</v>
      </c>
      <c r="P257" s="174"/>
    </row>
    <row r="258" spans="1:16" ht="11.5">
      <c r="A258" s="1"/>
      <c r="B258" s="175"/>
      <c r="C258" s="84" t="s">
        <v>176</v>
      </c>
      <c r="D258" s="84" t="s">
        <v>177</v>
      </c>
      <c r="E258" s="168">
        <v>2E-3</v>
      </c>
      <c r="F258" s="85">
        <v>0</v>
      </c>
      <c r="G258" s="168">
        <v>1E-3</v>
      </c>
      <c r="H258" s="174"/>
      <c r="J258" s="175"/>
      <c r="K258" s="201" t="s">
        <v>188</v>
      </c>
      <c r="L258" s="201" t="s">
        <v>189</v>
      </c>
      <c r="M258" s="203">
        <v>6.2E-2</v>
      </c>
      <c r="N258" s="203">
        <v>7.0000000000000001E-3</v>
      </c>
      <c r="O258" s="203">
        <v>5.5E-2</v>
      </c>
      <c r="P258" s="174"/>
    </row>
    <row r="259" spans="1:16" ht="11.5">
      <c r="A259" s="1"/>
      <c r="B259" s="175"/>
      <c r="C259" s="84" t="s">
        <v>180</v>
      </c>
      <c r="D259" s="84" t="s">
        <v>181</v>
      </c>
      <c r="E259" s="168">
        <v>3.6999999999999998E-2</v>
      </c>
      <c r="F259" s="168">
        <v>0.01</v>
      </c>
      <c r="G259" s="168">
        <v>2.8000000000000001E-2</v>
      </c>
      <c r="H259" s="174"/>
      <c r="J259" s="175"/>
      <c r="K259" s="201" t="s">
        <v>140</v>
      </c>
      <c r="L259" s="201" t="s">
        <v>141</v>
      </c>
      <c r="M259" s="203">
        <v>5.8000000000000003E-2</v>
      </c>
      <c r="N259" s="203">
        <v>5.8999999999999997E-2</v>
      </c>
      <c r="O259" s="203">
        <v>0</v>
      </c>
      <c r="P259" s="174"/>
    </row>
    <row r="260" spans="1:16" ht="11.5">
      <c r="A260" s="1"/>
      <c r="B260" s="175"/>
      <c r="C260" s="84" t="s">
        <v>184</v>
      </c>
      <c r="D260" s="84" t="s">
        <v>185</v>
      </c>
      <c r="E260" s="168">
        <v>4.5999999999999999E-2</v>
      </c>
      <c r="F260" s="168">
        <v>1.7999999999999999E-2</v>
      </c>
      <c r="G260" s="168">
        <v>2.8000000000000001E-2</v>
      </c>
      <c r="H260" s="174"/>
      <c r="J260" s="175"/>
      <c r="K260" s="201" t="s">
        <v>192</v>
      </c>
      <c r="L260" s="201" t="s">
        <v>193</v>
      </c>
      <c r="M260" s="203">
        <v>5.3999999999999999E-2</v>
      </c>
      <c r="N260" s="203">
        <v>5.3999999999999999E-2</v>
      </c>
      <c r="O260" s="203">
        <v>0</v>
      </c>
      <c r="P260" s="174"/>
    </row>
    <row r="261" spans="1:16" ht="11.5">
      <c r="A261" s="1"/>
      <c r="B261" s="175"/>
      <c r="C261" s="84" t="s">
        <v>186</v>
      </c>
      <c r="D261" s="84" t="s">
        <v>187</v>
      </c>
      <c r="E261" s="168">
        <v>0.03</v>
      </c>
      <c r="F261" s="168">
        <v>1.4E-2</v>
      </c>
      <c r="G261" s="168">
        <v>1.7000000000000001E-2</v>
      </c>
      <c r="H261" s="174"/>
      <c r="J261" s="175"/>
      <c r="K261" s="201" t="s">
        <v>128</v>
      </c>
      <c r="L261" s="201" t="s">
        <v>129</v>
      </c>
      <c r="M261" s="203">
        <v>4.5999999999999999E-2</v>
      </c>
      <c r="N261" s="203">
        <v>3.5000000000000003E-2</v>
      </c>
      <c r="O261" s="203">
        <v>1.0999999999999999E-2</v>
      </c>
      <c r="P261" s="174"/>
    </row>
    <row r="262" spans="1:16" ht="11.5">
      <c r="A262" s="1"/>
      <c r="B262" s="175"/>
      <c r="C262" s="84" t="s">
        <v>174</v>
      </c>
      <c r="D262" s="84" t="s">
        <v>175</v>
      </c>
      <c r="E262" s="168">
        <v>0.08</v>
      </c>
      <c r="F262" s="168">
        <v>3.0000000000000001E-3</v>
      </c>
      <c r="G262" s="168">
        <v>7.6999999999999999E-2</v>
      </c>
      <c r="H262" s="174"/>
      <c r="J262" s="175"/>
      <c r="K262" s="201" t="s">
        <v>144</v>
      </c>
      <c r="L262" s="201" t="s">
        <v>145</v>
      </c>
      <c r="M262" s="203">
        <v>4.5999999999999999E-2</v>
      </c>
      <c r="N262" s="203">
        <v>4.1000000000000002E-2</v>
      </c>
      <c r="O262" s="203">
        <v>5.0000000000000001E-3</v>
      </c>
      <c r="P262" s="174"/>
    </row>
    <row r="263" spans="1:16" ht="11.5">
      <c r="A263" s="1"/>
      <c r="B263" s="175"/>
      <c r="C263" s="84" t="s">
        <v>158</v>
      </c>
      <c r="D263" s="84" t="s">
        <v>159</v>
      </c>
      <c r="E263" s="168">
        <v>0.13100000000000001</v>
      </c>
      <c r="F263" s="168">
        <v>6.5000000000000002E-2</v>
      </c>
      <c r="G263" s="168">
        <v>6.7000000000000004E-2</v>
      </c>
      <c r="H263" s="174"/>
      <c r="J263" s="175"/>
      <c r="K263" s="201" t="s">
        <v>184</v>
      </c>
      <c r="L263" s="201" t="s">
        <v>185</v>
      </c>
      <c r="M263" s="203">
        <v>4.5999999999999999E-2</v>
      </c>
      <c r="N263" s="203">
        <v>1.7999999999999999E-2</v>
      </c>
      <c r="O263" s="203">
        <v>2.8000000000000001E-2</v>
      </c>
      <c r="P263" s="174"/>
    </row>
    <row r="264" spans="1:16" ht="11.5">
      <c r="A264" s="1"/>
      <c r="B264" s="175"/>
      <c r="C264" s="84" t="s">
        <v>190</v>
      </c>
      <c r="D264" s="84" t="s">
        <v>191</v>
      </c>
      <c r="E264" s="167">
        <v>2.8000000000000001E-2</v>
      </c>
      <c r="F264" s="168">
        <v>1E-3</v>
      </c>
      <c r="G264" s="168">
        <v>2.7E-2</v>
      </c>
      <c r="H264" s="174"/>
      <c r="J264" s="175"/>
      <c r="K264" s="201" t="s">
        <v>182</v>
      </c>
      <c r="L264" s="201" t="s">
        <v>183</v>
      </c>
      <c r="M264" s="203">
        <v>4.3999999999999997E-2</v>
      </c>
      <c r="N264" s="203">
        <v>2.7E-2</v>
      </c>
      <c r="O264" s="203">
        <v>1.6E-2</v>
      </c>
      <c r="P264" s="174"/>
    </row>
    <row r="265" spans="1:16" ht="11.5">
      <c r="A265" s="1"/>
      <c r="B265" s="175"/>
      <c r="C265" s="84" t="s">
        <v>182</v>
      </c>
      <c r="D265" s="84" t="s">
        <v>183</v>
      </c>
      <c r="E265" s="168">
        <v>4.3999999999999997E-2</v>
      </c>
      <c r="F265" s="168">
        <v>2.7E-2</v>
      </c>
      <c r="G265" s="168">
        <v>1.6E-2</v>
      </c>
      <c r="H265" s="174"/>
      <c r="J265" s="175"/>
      <c r="K265" s="201" t="s">
        <v>180</v>
      </c>
      <c r="L265" s="201" t="s">
        <v>181</v>
      </c>
      <c r="M265" s="203">
        <v>3.6999999999999998E-2</v>
      </c>
      <c r="N265" s="203">
        <v>0.01</v>
      </c>
      <c r="O265" s="203">
        <v>2.8000000000000001E-2</v>
      </c>
      <c r="P265" s="174"/>
    </row>
    <row r="266" spans="1:16" ht="11.5">
      <c r="A266" s="1"/>
      <c r="B266" s="175"/>
      <c r="C266" s="84" t="s">
        <v>194</v>
      </c>
      <c r="D266" s="84" t="s">
        <v>195</v>
      </c>
      <c r="E266" s="168">
        <v>3.1E-2</v>
      </c>
      <c r="F266" s="168">
        <v>1E-3</v>
      </c>
      <c r="G266" s="168">
        <v>0.03</v>
      </c>
      <c r="H266" s="174"/>
      <c r="J266" s="175"/>
      <c r="K266" s="201" t="s">
        <v>200</v>
      </c>
      <c r="L266" s="201" t="s">
        <v>201</v>
      </c>
      <c r="M266" s="203">
        <v>3.6999999999999998E-2</v>
      </c>
      <c r="N266" s="203">
        <v>3.6999999999999998E-2</v>
      </c>
      <c r="O266" s="203">
        <v>0</v>
      </c>
      <c r="P266" s="174"/>
    </row>
    <row r="267" spans="1:16" ht="11.5">
      <c r="A267" s="1"/>
      <c r="B267" s="175"/>
      <c r="C267" s="84" t="s">
        <v>140</v>
      </c>
      <c r="D267" s="84" t="s">
        <v>141</v>
      </c>
      <c r="E267" s="168">
        <v>5.8000000000000003E-2</v>
      </c>
      <c r="F267" s="168">
        <v>5.8999999999999997E-2</v>
      </c>
      <c r="G267" s="85">
        <v>0</v>
      </c>
      <c r="H267" s="174"/>
      <c r="J267" s="175"/>
      <c r="K267" s="201" t="s">
        <v>202</v>
      </c>
      <c r="L267" s="201" t="s">
        <v>203</v>
      </c>
      <c r="M267" s="203">
        <v>3.4000000000000002E-2</v>
      </c>
      <c r="N267" s="203">
        <v>2.9000000000000001E-2</v>
      </c>
      <c r="O267" s="203">
        <v>5.0000000000000001E-3</v>
      </c>
      <c r="P267" s="174"/>
    </row>
    <row r="268" spans="1:16" ht="11.5">
      <c r="A268" s="1"/>
      <c r="B268" s="175"/>
      <c r="C268" s="84" t="s">
        <v>196</v>
      </c>
      <c r="D268" s="84" t="s">
        <v>197</v>
      </c>
      <c r="E268" s="168">
        <v>0.01</v>
      </c>
      <c r="F268" s="168">
        <v>0.01</v>
      </c>
      <c r="G268" s="85">
        <v>0</v>
      </c>
      <c r="H268" s="174"/>
      <c r="J268" s="175"/>
      <c r="K268" s="201" t="s">
        <v>194</v>
      </c>
      <c r="L268" s="201" t="s">
        <v>195</v>
      </c>
      <c r="M268" s="203">
        <v>3.1E-2</v>
      </c>
      <c r="N268" s="203">
        <v>1E-3</v>
      </c>
      <c r="O268" s="203">
        <v>0.03</v>
      </c>
      <c r="P268" s="174"/>
    </row>
    <row r="269" spans="1:16" ht="11.5">
      <c r="A269" s="1"/>
      <c r="B269" s="175"/>
      <c r="C269" s="84" t="s">
        <v>198</v>
      </c>
      <c r="D269" s="84" t="s">
        <v>199</v>
      </c>
      <c r="E269" s="168">
        <v>7.6999999999999999E-2</v>
      </c>
      <c r="F269" s="168">
        <v>7.6999999999999999E-2</v>
      </c>
      <c r="G269" s="168">
        <v>0</v>
      </c>
      <c r="H269" s="174"/>
      <c r="J269" s="175"/>
      <c r="K269" s="201" t="s">
        <v>160</v>
      </c>
      <c r="L269" s="201" t="s">
        <v>161</v>
      </c>
      <c r="M269" s="203">
        <v>0.03</v>
      </c>
      <c r="N269" s="203">
        <v>2.9000000000000001E-2</v>
      </c>
      <c r="O269" s="203">
        <v>1E-3</v>
      </c>
      <c r="P269" s="174"/>
    </row>
    <row r="270" spans="1:16" ht="11.5">
      <c r="A270" s="1"/>
      <c r="B270" s="175"/>
      <c r="C270" s="84" t="s">
        <v>130</v>
      </c>
      <c r="D270" s="84" t="s">
        <v>131</v>
      </c>
      <c r="E270" s="168">
        <v>3.9220000000000002</v>
      </c>
      <c r="F270" s="168">
        <v>0.187</v>
      </c>
      <c r="G270" s="168">
        <v>3.7349999999999999</v>
      </c>
      <c r="H270" s="174"/>
      <c r="J270" s="175"/>
      <c r="K270" s="201" t="s">
        <v>186</v>
      </c>
      <c r="L270" s="201" t="s">
        <v>187</v>
      </c>
      <c r="M270" s="203">
        <v>0.03</v>
      </c>
      <c r="N270" s="203">
        <v>1.4E-2</v>
      </c>
      <c r="O270" s="203">
        <v>1.7000000000000001E-2</v>
      </c>
      <c r="P270" s="174"/>
    </row>
    <row r="271" spans="1:16" ht="11.5">
      <c r="A271" s="1"/>
      <c r="B271" s="175"/>
      <c r="C271" s="84" t="s">
        <v>202</v>
      </c>
      <c r="D271" s="84" t="s">
        <v>203</v>
      </c>
      <c r="E271" s="168">
        <v>3.4000000000000002E-2</v>
      </c>
      <c r="F271" s="168">
        <v>2.9000000000000001E-2</v>
      </c>
      <c r="G271" s="168">
        <v>5.0000000000000001E-3</v>
      </c>
      <c r="H271" s="174"/>
      <c r="J271" s="175"/>
      <c r="K271" s="201" t="s">
        <v>138</v>
      </c>
      <c r="L271" s="201" t="s">
        <v>139</v>
      </c>
      <c r="M271" s="203">
        <v>2.9000000000000001E-2</v>
      </c>
      <c r="N271" s="203">
        <v>2.5999999999999999E-2</v>
      </c>
      <c r="O271" s="203">
        <v>2E-3</v>
      </c>
      <c r="P271" s="174"/>
    </row>
    <row r="272" spans="1:16" ht="11.5">
      <c r="A272" s="1"/>
      <c r="B272" s="175"/>
      <c r="C272" s="84" t="s">
        <v>164</v>
      </c>
      <c r="D272" s="84" t="s">
        <v>165</v>
      </c>
      <c r="E272" s="168">
        <v>9.9000000000000005E-2</v>
      </c>
      <c r="F272" s="168">
        <v>7.6999999999999999E-2</v>
      </c>
      <c r="G272" s="168">
        <v>2.1999999999999999E-2</v>
      </c>
      <c r="H272" s="174"/>
      <c r="J272" s="175"/>
      <c r="K272" s="201" t="s">
        <v>190</v>
      </c>
      <c r="L272" s="201" t="s">
        <v>191</v>
      </c>
      <c r="M272" s="203">
        <v>2.8000000000000001E-2</v>
      </c>
      <c r="N272" s="203">
        <v>1E-3</v>
      </c>
      <c r="O272" s="203">
        <v>2.7E-2</v>
      </c>
      <c r="P272" s="174"/>
    </row>
    <row r="273" spans="1:16" ht="11.5">
      <c r="A273" s="1"/>
      <c r="B273" s="175"/>
      <c r="C273" s="84" t="s">
        <v>178</v>
      </c>
      <c r="D273" s="84" t="s">
        <v>179</v>
      </c>
      <c r="E273" s="168">
        <v>0.107</v>
      </c>
      <c r="F273" s="168">
        <v>0.1</v>
      </c>
      <c r="G273" s="168">
        <v>7.0000000000000001E-3</v>
      </c>
      <c r="H273" s="174"/>
      <c r="J273" s="175"/>
      <c r="K273" s="201" t="s">
        <v>210</v>
      </c>
      <c r="L273" s="201" t="s">
        <v>211</v>
      </c>
      <c r="M273" s="203">
        <v>2.5999999999999999E-2</v>
      </c>
      <c r="N273" s="203">
        <v>1E-3</v>
      </c>
      <c r="O273" s="203">
        <v>2.5999999999999999E-2</v>
      </c>
      <c r="P273" s="174"/>
    </row>
    <row r="274" spans="1:16" ht="11.5">
      <c r="A274" s="1"/>
      <c r="B274" s="175"/>
      <c r="C274" s="84" t="s">
        <v>154</v>
      </c>
      <c r="D274" s="84" t="s">
        <v>155</v>
      </c>
      <c r="E274" s="168">
        <v>0.09</v>
      </c>
      <c r="F274" s="167">
        <v>8.6999999999999994E-2</v>
      </c>
      <c r="G274" s="168">
        <v>3.0000000000000001E-3</v>
      </c>
      <c r="H274" s="174"/>
      <c r="J274" s="175"/>
      <c r="K274" s="201" t="s">
        <v>206</v>
      </c>
      <c r="L274" s="201" t="s">
        <v>207</v>
      </c>
      <c r="M274" s="203">
        <v>2.3E-2</v>
      </c>
      <c r="N274" s="203">
        <v>2.3E-2</v>
      </c>
      <c r="O274" s="203">
        <v>0</v>
      </c>
      <c r="P274" s="174"/>
    </row>
    <row r="275" spans="1:16" ht="11.5">
      <c r="A275" s="1"/>
      <c r="B275" s="175"/>
      <c r="C275" s="84" t="s">
        <v>204</v>
      </c>
      <c r="D275" s="84" t="s">
        <v>205</v>
      </c>
      <c r="E275" s="168">
        <v>2E-3</v>
      </c>
      <c r="F275" s="168">
        <v>2E-3</v>
      </c>
      <c r="G275" s="85">
        <v>-1E-3</v>
      </c>
      <c r="H275" s="174"/>
      <c r="J275" s="175"/>
      <c r="K275" s="201" t="s">
        <v>216</v>
      </c>
      <c r="L275" s="201" t="s">
        <v>217</v>
      </c>
      <c r="M275" s="203">
        <v>2.1999999999999999E-2</v>
      </c>
      <c r="N275" s="203">
        <v>2.1000000000000001E-2</v>
      </c>
      <c r="O275" s="203">
        <v>1E-3</v>
      </c>
      <c r="P275" s="174"/>
    </row>
    <row r="276" spans="1:16" ht="11.5">
      <c r="A276" s="1"/>
      <c r="B276" s="175"/>
      <c r="C276" s="84" t="s">
        <v>208</v>
      </c>
      <c r="D276" s="84" t="s">
        <v>209</v>
      </c>
      <c r="E276" s="168">
        <v>7.0000000000000001E-3</v>
      </c>
      <c r="F276" s="168">
        <v>7.0000000000000001E-3</v>
      </c>
      <c r="G276" s="85">
        <v>0</v>
      </c>
      <c r="H276" s="174"/>
      <c r="J276" s="175"/>
      <c r="K276" s="201" t="s">
        <v>224</v>
      </c>
      <c r="L276" s="201" t="s">
        <v>225</v>
      </c>
      <c r="M276" s="203">
        <v>0.02</v>
      </c>
      <c r="N276" s="203">
        <v>0.02</v>
      </c>
      <c r="O276" s="203">
        <v>0</v>
      </c>
      <c r="P276" s="174"/>
    </row>
    <row r="277" spans="1:16" ht="11.5">
      <c r="A277" s="1"/>
      <c r="B277" s="175"/>
      <c r="C277" s="84" t="s">
        <v>212</v>
      </c>
      <c r="D277" s="84" t="s">
        <v>213</v>
      </c>
      <c r="E277" s="168">
        <v>1.7999999999999999E-2</v>
      </c>
      <c r="F277" s="168">
        <v>1.7999999999999999E-2</v>
      </c>
      <c r="G277" s="85">
        <v>0</v>
      </c>
      <c r="H277" s="174"/>
      <c r="J277" s="175"/>
      <c r="K277" s="201" t="s">
        <v>166</v>
      </c>
      <c r="L277" s="201" t="s">
        <v>167</v>
      </c>
      <c r="M277" s="203">
        <v>1.9E-2</v>
      </c>
      <c r="N277" s="203">
        <v>2.5000000000000001E-2</v>
      </c>
      <c r="O277" s="203">
        <v>-6.0000000000000001E-3</v>
      </c>
      <c r="P277" s="174"/>
    </row>
    <row r="278" spans="1:16" ht="11.5">
      <c r="A278" s="1"/>
      <c r="B278" s="175"/>
      <c r="C278" s="84" t="s">
        <v>214</v>
      </c>
      <c r="D278" s="84" t="s">
        <v>215</v>
      </c>
      <c r="E278" s="168">
        <v>1E-3</v>
      </c>
      <c r="F278" s="168">
        <v>1E-3</v>
      </c>
      <c r="G278" s="85">
        <v>0</v>
      </c>
      <c r="H278" s="174"/>
      <c r="J278" s="175"/>
      <c r="K278" s="201" t="s">
        <v>236</v>
      </c>
      <c r="L278" s="201" t="s">
        <v>237</v>
      </c>
      <c r="M278" s="203">
        <v>1.9E-2</v>
      </c>
      <c r="N278" s="203">
        <v>2E-3</v>
      </c>
      <c r="O278" s="203">
        <v>1.6E-2</v>
      </c>
      <c r="P278" s="174"/>
    </row>
    <row r="279" spans="1:16" ht="11.5">
      <c r="A279" s="1"/>
      <c r="B279" s="175"/>
      <c r="C279" s="84" t="s">
        <v>142</v>
      </c>
      <c r="D279" s="84" t="s">
        <v>143</v>
      </c>
      <c r="E279" s="168">
        <v>0.109</v>
      </c>
      <c r="F279" s="168">
        <v>0.109</v>
      </c>
      <c r="G279" s="85">
        <v>0</v>
      </c>
      <c r="H279" s="174"/>
      <c r="J279" s="175"/>
      <c r="K279" s="201" t="s">
        <v>212</v>
      </c>
      <c r="L279" s="201" t="s">
        <v>213</v>
      </c>
      <c r="M279" s="203">
        <v>1.7999999999999999E-2</v>
      </c>
      <c r="N279" s="203">
        <v>1.7999999999999999E-2</v>
      </c>
      <c r="O279" s="203">
        <v>0</v>
      </c>
      <c r="P279" s="174"/>
    </row>
    <row r="280" spans="1:16" ht="11.5">
      <c r="A280" s="1"/>
      <c r="B280" s="175"/>
      <c r="C280" s="84" t="s">
        <v>218</v>
      </c>
      <c r="D280" s="84" t="s">
        <v>219</v>
      </c>
      <c r="E280" s="168">
        <v>1.2999999999999999E-2</v>
      </c>
      <c r="F280" s="167">
        <v>8.0000000000000002E-3</v>
      </c>
      <c r="G280" s="168">
        <v>5.0000000000000001E-3</v>
      </c>
      <c r="H280" s="174"/>
      <c r="J280" s="175"/>
      <c r="K280" s="201" t="s">
        <v>220</v>
      </c>
      <c r="L280" s="201" t="s">
        <v>221</v>
      </c>
      <c r="M280" s="203">
        <v>1.7000000000000001E-2</v>
      </c>
      <c r="N280" s="203">
        <v>1.7000000000000001E-2</v>
      </c>
      <c r="O280" s="203">
        <v>0</v>
      </c>
      <c r="P280" s="174"/>
    </row>
    <row r="281" spans="1:16" ht="11.5">
      <c r="A281" s="1"/>
      <c r="B281" s="175"/>
      <c r="C281" s="84" t="s">
        <v>222</v>
      </c>
      <c r="D281" s="84" t="s">
        <v>223</v>
      </c>
      <c r="E281" s="167">
        <v>0.01</v>
      </c>
      <c r="F281" s="168">
        <v>7.0000000000000001E-3</v>
      </c>
      <c r="G281" s="168">
        <v>3.0000000000000001E-3</v>
      </c>
      <c r="H281" s="174"/>
      <c r="J281" s="175"/>
      <c r="K281" s="201" t="s">
        <v>152</v>
      </c>
      <c r="L281" s="201" t="s">
        <v>153</v>
      </c>
      <c r="M281" s="203">
        <v>1.4E-2</v>
      </c>
      <c r="N281" s="203">
        <v>1.6E-2</v>
      </c>
      <c r="O281" s="203">
        <v>-2E-3</v>
      </c>
      <c r="P281" s="174"/>
    </row>
    <row r="282" spans="1:16" ht="11.5">
      <c r="A282" s="1"/>
      <c r="B282" s="175"/>
      <c r="C282" s="84" t="s">
        <v>206</v>
      </c>
      <c r="D282" s="84" t="s">
        <v>207</v>
      </c>
      <c r="E282" s="168">
        <v>2.3E-2</v>
      </c>
      <c r="F282" s="168">
        <v>2.3E-2</v>
      </c>
      <c r="G282" s="85">
        <v>0</v>
      </c>
      <c r="H282" s="174"/>
      <c r="J282" s="175"/>
      <c r="K282" s="201" t="s">
        <v>248</v>
      </c>
      <c r="L282" s="201" t="s">
        <v>249</v>
      </c>
      <c r="M282" s="203">
        <v>1.4E-2</v>
      </c>
      <c r="N282" s="203">
        <v>1.4E-2</v>
      </c>
      <c r="O282" s="203">
        <v>0</v>
      </c>
      <c r="P282" s="174"/>
    </row>
    <row r="283" spans="1:16" ht="11.5">
      <c r="A283" s="1"/>
      <c r="B283" s="175"/>
      <c r="C283" s="84" t="s">
        <v>210</v>
      </c>
      <c r="D283" s="84" t="s">
        <v>211</v>
      </c>
      <c r="E283" s="168">
        <v>2.5999999999999999E-2</v>
      </c>
      <c r="F283" s="168">
        <v>1E-3</v>
      </c>
      <c r="G283" s="168">
        <v>2.5999999999999999E-2</v>
      </c>
      <c r="H283" s="174"/>
      <c r="J283" s="175"/>
      <c r="K283" s="201" t="s">
        <v>226</v>
      </c>
      <c r="L283" s="201" t="s">
        <v>227</v>
      </c>
      <c r="M283" s="203">
        <v>1.4E-2</v>
      </c>
      <c r="N283" s="203">
        <v>1.4E-2</v>
      </c>
      <c r="O283" s="203">
        <v>0</v>
      </c>
      <c r="P283" s="174"/>
    </row>
    <row r="284" spans="1:16" ht="11.5">
      <c r="A284" s="1"/>
      <c r="B284" s="175"/>
      <c r="C284" s="84" t="s">
        <v>228</v>
      </c>
      <c r="D284" s="84" t="s">
        <v>229</v>
      </c>
      <c r="E284" s="168">
        <v>0.01</v>
      </c>
      <c r="F284" s="168">
        <v>0.01</v>
      </c>
      <c r="G284" s="85">
        <v>0</v>
      </c>
      <c r="H284" s="174"/>
      <c r="J284" s="175"/>
      <c r="K284" s="201" t="s">
        <v>232</v>
      </c>
      <c r="L284" s="201" t="s">
        <v>233</v>
      </c>
      <c r="M284" s="203">
        <v>1.4E-2</v>
      </c>
      <c r="N284" s="203">
        <v>1.4E-2</v>
      </c>
      <c r="O284" s="203">
        <v>0</v>
      </c>
      <c r="P284" s="174"/>
    </row>
    <row r="285" spans="1:16" ht="11.5">
      <c r="A285" s="1"/>
      <c r="B285" s="175"/>
      <c r="C285" s="84" t="s">
        <v>220</v>
      </c>
      <c r="D285" s="84" t="s">
        <v>221</v>
      </c>
      <c r="E285" s="168">
        <v>1.7000000000000001E-2</v>
      </c>
      <c r="F285" s="168">
        <v>1.7000000000000001E-2</v>
      </c>
      <c r="G285" s="85">
        <v>0</v>
      </c>
      <c r="H285" s="174"/>
      <c r="J285" s="175"/>
      <c r="K285" s="201" t="s">
        <v>170</v>
      </c>
      <c r="L285" s="201" t="s">
        <v>171</v>
      </c>
      <c r="M285" s="203">
        <v>1.2999999999999999E-2</v>
      </c>
      <c r="N285" s="203">
        <v>0.01</v>
      </c>
      <c r="O285" s="203">
        <v>3.0000000000000001E-3</v>
      </c>
      <c r="P285" s="174"/>
    </row>
    <row r="286" spans="1:16" ht="11.5">
      <c r="A286" s="1"/>
      <c r="B286" s="175"/>
      <c r="C286" s="84" t="s">
        <v>230</v>
      </c>
      <c r="D286" s="84" t="s">
        <v>231</v>
      </c>
      <c r="E286" s="168">
        <v>2E-3</v>
      </c>
      <c r="F286" s="168">
        <v>2E-3</v>
      </c>
      <c r="G286" s="85">
        <v>0</v>
      </c>
      <c r="H286" s="174"/>
      <c r="J286" s="175"/>
      <c r="K286" s="201" t="s">
        <v>218</v>
      </c>
      <c r="L286" s="201" t="s">
        <v>219</v>
      </c>
      <c r="M286" s="203">
        <v>1.2999999999999999E-2</v>
      </c>
      <c r="N286" s="203">
        <v>8.0000000000000002E-3</v>
      </c>
      <c r="O286" s="203">
        <v>5.0000000000000001E-3</v>
      </c>
      <c r="P286" s="174"/>
    </row>
    <row r="287" spans="1:16" ht="11.5">
      <c r="A287" s="1"/>
      <c r="B287" s="175"/>
      <c r="C287" s="84" t="s">
        <v>150</v>
      </c>
      <c r="D287" s="84" t="s">
        <v>151</v>
      </c>
      <c r="E287" s="168">
        <v>0.32900000000000001</v>
      </c>
      <c r="F287" s="167">
        <v>0.32100000000000001</v>
      </c>
      <c r="G287" s="168">
        <v>8.0000000000000002E-3</v>
      </c>
      <c r="H287" s="174"/>
      <c r="J287" s="175"/>
      <c r="K287" s="201" t="s">
        <v>244</v>
      </c>
      <c r="L287" s="201" t="s">
        <v>245</v>
      </c>
      <c r="M287" s="203">
        <v>1.0999999999999999E-2</v>
      </c>
      <c r="N287" s="203">
        <v>8.0000000000000002E-3</v>
      </c>
      <c r="O287" s="203">
        <v>2E-3</v>
      </c>
      <c r="P287" s="174"/>
    </row>
    <row r="288" spans="1:16" ht="11.5">
      <c r="A288" s="1"/>
      <c r="B288" s="175"/>
      <c r="C288" s="84" t="s">
        <v>234</v>
      </c>
      <c r="D288" s="84" t="s">
        <v>235</v>
      </c>
      <c r="E288" s="168">
        <v>8.0000000000000002E-3</v>
      </c>
      <c r="F288" s="168">
        <v>3.0000000000000001E-3</v>
      </c>
      <c r="G288" s="168">
        <v>5.0000000000000001E-3</v>
      </c>
      <c r="H288" s="174"/>
      <c r="J288" s="175"/>
      <c r="K288" s="201" t="s">
        <v>196</v>
      </c>
      <c r="L288" s="201" t="s">
        <v>197</v>
      </c>
      <c r="M288" s="203">
        <v>0.01</v>
      </c>
      <c r="N288" s="203">
        <v>0.01</v>
      </c>
      <c r="O288" s="203">
        <v>0</v>
      </c>
      <c r="P288" s="174"/>
    </row>
    <row r="289" spans="1:16" ht="11.5">
      <c r="A289" s="1"/>
      <c r="B289" s="175"/>
      <c r="C289" s="84" t="s">
        <v>236</v>
      </c>
      <c r="D289" s="84" t="s">
        <v>237</v>
      </c>
      <c r="E289" s="168">
        <v>1.9E-2</v>
      </c>
      <c r="F289" s="168">
        <v>2E-3</v>
      </c>
      <c r="G289" s="168">
        <v>1.6E-2</v>
      </c>
      <c r="H289" s="174"/>
      <c r="J289" s="175"/>
      <c r="K289" s="201" t="s">
        <v>222</v>
      </c>
      <c r="L289" s="201" t="s">
        <v>223</v>
      </c>
      <c r="M289" s="203">
        <v>0.01</v>
      </c>
      <c r="N289" s="203">
        <v>7.0000000000000001E-3</v>
      </c>
      <c r="O289" s="203">
        <v>3.0000000000000001E-3</v>
      </c>
      <c r="P289" s="174"/>
    </row>
    <row r="290" spans="1:16" ht="11.5">
      <c r="A290" s="1"/>
      <c r="B290" s="175"/>
      <c r="C290" s="84" t="s">
        <v>188</v>
      </c>
      <c r="D290" s="84" t="s">
        <v>189</v>
      </c>
      <c r="E290" s="168">
        <v>6.2E-2</v>
      </c>
      <c r="F290" s="168">
        <v>7.0000000000000001E-3</v>
      </c>
      <c r="G290" s="167">
        <v>5.5E-2</v>
      </c>
      <c r="H290" s="174"/>
      <c r="J290" s="175"/>
      <c r="K290" s="201" t="s">
        <v>228</v>
      </c>
      <c r="L290" s="201" t="s">
        <v>229</v>
      </c>
      <c r="M290" s="203">
        <v>0.01</v>
      </c>
      <c r="N290" s="203">
        <v>0.01</v>
      </c>
      <c r="O290" s="203">
        <v>0</v>
      </c>
      <c r="P290" s="174"/>
    </row>
    <row r="291" spans="1:16" ht="11.5">
      <c r="A291" s="1"/>
      <c r="B291" s="175"/>
      <c r="C291" s="84" t="s">
        <v>238</v>
      </c>
      <c r="D291" s="84" t="s">
        <v>239</v>
      </c>
      <c r="E291" s="85">
        <v>0</v>
      </c>
      <c r="F291" s="85">
        <v>0</v>
      </c>
      <c r="G291" s="85">
        <v>0</v>
      </c>
      <c r="H291" s="174"/>
      <c r="J291" s="175"/>
      <c r="K291" s="201" t="s">
        <v>234</v>
      </c>
      <c r="L291" s="201" t="s">
        <v>235</v>
      </c>
      <c r="M291" s="203">
        <v>8.0000000000000002E-3</v>
      </c>
      <c r="N291" s="203">
        <v>3.0000000000000001E-3</v>
      </c>
      <c r="O291" s="203">
        <v>5.0000000000000001E-3</v>
      </c>
      <c r="P291" s="174"/>
    </row>
    <row r="292" spans="1:16" ht="11.5">
      <c r="A292" s="1"/>
      <c r="B292" s="175"/>
      <c r="C292" s="84" t="s">
        <v>240</v>
      </c>
      <c r="D292" s="84" t="s">
        <v>241</v>
      </c>
      <c r="E292" s="168">
        <v>3.0000000000000001E-3</v>
      </c>
      <c r="F292" s="168">
        <v>3.0000000000000001E-3</v>
      </c>
      <c r="G292" s="85">
        <v>0</v>
      </c>
      <c r="H292" s="174"/>
      <c r="J292" s="175"/>
      <c r="K292" s="201" t="s">
        <v>208</v>
      </c>
      <c r="L292" s="201" t="s">
        <v>209</v>
      </c>
      <c r="M292" s="203">
        <v>7.0000000000000001E-3</v>
      </c>
      <c r="N292" s="203">
        <v>7.0000000000000001E-3</v>
      </c>
      <c r="O292" s="203">
        <v>0</v>
      </c>
      <c r="P292" s="174"/>
    </row>
    <row r="293" spans="1:16" ht="11.5">
      <c r="A293" s="1"/>
      <c r="B293" s="175"/>
      <c r="C293" s="84" t="s">
        <v>242</v>
      </c>
      <c r="D293" s="84" t="s">
        <v>243</v>
      </c>
      <c r="E293" s="168">
        <v>6.0000000000000001E-3</v>
      </c>
      <c r="F293" s="168">
        <v>5.0000000000000001E-3</v>
      </c>
      <c r="G293" s="85">
        <v>0</v>
      </c>
      <c r="H293" s="174"/>
      <c r="J293" s="175"/>
      <c r="K293" s="201" t="s">
        <v>242</v>
      </c>
      <c r="L293" s="201" t="s">
        <v>243</v>
      </c>
      <c r="M293" s="203">
        <v>6.0000000000000001E-3</v>
      </c>
      <c r="N293" s="203">
        <v>5.0000000000000001E-3</v>
      </c>
      <c r="O293" s="203">
        <v>0</v>
      </c>
      <c r="P293" s="174"/>
    </row>
    <row r="294" spans="1:16" ht="11.5">
      <c r="A294" s="1"/>
      <c r="B294" s="175"/>
      <c r="C294" s="84" t="s">
        <v>246</v>
      </c>
      <c r="D294" s="84" t="s">
        <v>247</v>
      </c>
      <c r="E294" s="85">
        <v>0</v>
      </c>
      <c r="F294" s="85">
        <v>0</v>
      </c>
      <c r="G294" s="85">
        <v>0</v>
      </c>
      <c r="H294" s="174"/>
      <c r="J294" s="175"/>
      <c r="K294" s="201" t="s">
        <v>148</v>
      </c>
      <c r="L294" s="201" t="s">
        <v>149</v>
      </c>
      <c r="M294" s="203">
        <v>5.0000000000000001E-3</v>
      </c>
      <c r="N294" s="203">
        <v>3.0000000000000001E-3</v>
      </c>
      <c r="O294" s="203">
        <v>2E-3</v>
      </c>
      <c r="P294" s="174"/>
    </row>
    <row r="295" spans="1:16" ht="11.5">
      <c r="A295" s="1"/>
      <c r="B295" s="175"/>
      <c r="C295" s="84" t="s">
        <v>248</v>
      </c>
      <c r="D295" s="84" t="s">
        <v>249</v>
      </c>
      <c r="E295" s="168">
        <v>1.4E-2</v>
      </c>
      <c r="F295" s="168">
        <v>1.4E-2</v>
      </c>
      <c r="G295" s="85">
        <v>0</v>
      </c>
      <c r="H295" s="174"/>
      <c r="J295" s="175"/>
      <c r="K295" s="201" t="s">
        <v>136</v>
      </c>
      <c r="L295" s="201" t="s">
        <v>137</v>
      </c>
      <c r="M295" s="203">
        <v>3.0000000000000001E-3</v>
      </c>
      <c r="N295" s="203">
        <v>3.0000000000000001E-3</v>
      </c>
      <c r="O295" s="203">
        <v>0</v>
      </c>
      <c r="P295" s="174"/>
    </row>
    <row r="296" spans="1:16" ht="11.5">
      <c r="A296" s="1"/>
      <c r="B296" s="175"/>
      <c r="C296" s="84" t="s">
        <v>244</v>
      </c>
      <c r="D296" s="84" t="s">
        <v>245</v>
      </c>
      <c r="E296" s="168">
        <v>1.0999999999999999E-2</v>
      </c>
      <c r="F296" s="168">
        <v>8.0000000000000002E-3</v>
      </c>
      <c r="G296" s="168">
        <v>2E-3</v>
      </c>
      <c r="H296" s="174"/>
      <c r="J296" s="175"/>
      <c r="K296" s="201" t="s">
        <v>240</v>
      </c>
      <c r="L296" s="201" t="s">
        <v>241</v>
      </c>
      <c r="M296" s="203">
        <v>3.0000000000000001E-3</v>
      </c>
      <c r="N296" s="203">
        <v>3.0000000000000001E-3</v>
      </c>
      <c r="O296" s="203">
        <v>0</v>
      </c>
      <c r="P296" s="174"/>
    </row>
    <row r="297" spans="1:16" ht="11.5">
      <c r="A297" s="1"/>
      <c r="B297" s="175"/>
      <c r="C297" s="84" t="s">
        <v>146</v>
      </c>
      <c r="D297" s="84" t="s">
        <v>147</v>
      </c>
      <c r="E297" s="168">
        <v>0.376</v>
      </c>
      <c r="F297" s="168">
        <v>0.374</v>
      </c>
      <c r="G297" s="168">
        <v>2E-3</v>
      </c>
      <c r="H297" s="174"/>
      <c r="J297" s="175"/>
      <c r="K297" s="201" t="s">
        <v>250</v>
      </c>
      <c r="L297" s="201" t="s">
        <v>251</v>
      </c>
      <c r="M297" s="203">
        <v>3.0000000000000001E-3</v>
      </c>
      <c r="N297" s="203">
        <v>3.0000000000000001E-3</v>
      </c>
      <c r="O297" s="203">
        <v>1E-3</v>
      </c>
      <c r="P297" s="174"/>
    </row>
    <row r="298" spans="1:16" ht="11.5">
      <c r="A298" s="1"/>
      <c r="B298" s="175"/>
      <c r="C298" s="84" t="s">
        <v>192</v>
      </c>
      <c r="D298" s="84" t="s">
        <v>193</v>
      </c>
      <c r="E298" s="168">
        <v>5.3999999999999999E-2</v>
      </c>
      <c r="F298" s="168">
        <v>5.3999999999999999E-2</v>
      </c>
      <c r="G298" s="85">
        <v>0</v>
      </c>
      <c r="H298" s="174"/>
      <c r="J298" s="175"/>
      <c r="K298" s="201" t="s">
        <v>132</v>
      </c>
      <c r="L298" s="201" t="s">
        <v>133</v>
      </c>
      <c r="M298" s="203">
        <v>2E-3</v>
      </c>
      <c r="N298" s="203">
        <v>1E-3</v>
      </c>
      <c r="O298" s="203">
        <v>1E-3</v>
      </c>
      <c r="P298" s="174"/>
    </row>
    <row r="299" spans="1:16" ht="11.5">
      <c r="A299" s="1"/>
      <c r="B299" s="175"/>
      <c r="C299" s="84" t="s">
        <v>168</v>
      </c>
      <c r="D299" s="84" t="s">
        <v>169</v>
      </c>
      <c r="E299" s="168">
        <v>9.9000000000000005E-2</v>
      </c>
      <c r="F299" s="168">
        <v>9.9000000000000005E-2</v>
      </c>
      <c r="G299" s="85">
        <v>0</v>
      </c>
      <c r="H299" s="174"/>
      <c r="J299" s="175"/>
      <c r="K299" s="201" t="s">
        <v>176</v>
      </c>
      <c r="L299" s="201" t="s">
        <v>177</v>
      </c>
      <c r="M299" s="203">
        <v>2E-3</v>
      </c>
      <c r="N299" s="203">
        <v>0</v>
      </c>
      <c r="O299" s="203">
        <v>1E-3</v>
      </c>
      <c r="P299" s="174"/>
    </row>
    <row r="300" spans="1:16" ht="11.5">
      <c r="A300" s="1"/>
      <c r="B300" s="175"/>
      <c r="C300" s="84" t="s">
        <v>200</v>
      </c>
      <c r="D300" s="84" t="s">
        <v>201</v>
      </c>
      <c r="E300" s="168">
        <v>3.6999999999999998E-2</v>
      </c>
      <c r="F300" s="168">
        <v>3.6999999999999998E-2</v>
      </c>
      <c r="G300" s="85">
        <v>0</v>
      </c>
      <c r="H300" s="174"/>
      <c r="J300" s="175"/>
      <c r="K300" s="201" t="s">
        <v>204</v>
      </c>
      <c r="L300" s="201" t="s">
        <v>205</v>
      </c>
      <c r="M300" s="203">
        <v>2E-3</v>
      </c>
      <c r="N300" s="203">
        <v>2E-3</v>
      </c>
      <c r="O300" s="203">
        <v>-1E-3</v>
      </c>
      <c r="P300" s="174"/>
    </row>
    <row r="301" spans="1:16" ht="11.5">
      <c r="A301" s="1"/>
      <c r="B301" s="175"/>
      <c r="C301" s="84" t="s">
        <v>216</v>
      </c>
      <c r="D301" s="84" t="s">
        <v>217</v>
      </c>
      <c r="E301" s="168">
        <v>2.1999999999999999E-2</v>
      </c>
      <c r="F301" s="168">
        <v>2.1000000000000001E-2</v>
      </c>
      <c r="G301" s="168">
        <v>1E-3</v>
      </c>
      <c r="H301" s="174"/>
      <c r="J301" s="175"/>
      <c r="K301" s="201" t="s">
        <v>230</v>
      </c>
      <c r="L301" s="201" t="s">
        <v>231</v>
      </c>
      <c r="M301" s="203">
        <v>2E-3</v>
      </c>
      <c r="N301" s="203">
        <v>2E-3</v>
      </c>
      <c r="O301" s="203">
        <v>0</v>
      </c>
      <c r="P301" s="174"/>
    </row>
    <row r="302" spans="1:16" ht="11.5">
      <c r="A302" s="1"/>
      <c r="B302" s="175"/>
      <c r="C302" s="84" t="s">
        <v>226</v>
      </c>
      <c r="D302" s="84" t="s">
        <v>227</v>
      </c>
      <c r="E302" s="168">
        <v>1.4E-2</v>
      </c>
      <c r="F302" s="168">
        <v>1.4E-2</v>
      </c>
      <c r="G302" s="85">
        <v>0</v>
      </c>
      <c r="H302" s="174"/>
      <c r="J302" s="175"/>
      <c r="K302" s="201" t="s">
        <v>156</v>
      </c>
      <c r="L302" s="201" t="s">
        <v>157</v>
      </c>
      <c r="M302" s="203">
        <v>1E-3</v>
      </c>
      <c r="N302" s="203">
        <v>2E-3</v>
      </c>
      <c r="O302" s="203">
        <v>-1E-3</v>
      </c>
      <c r="P302" s="174"/>
    </row>
    <row r="303" spans="1:16" ht="11.5">
      <c r="A303" s="1"/>
      <c r="B303" s="175"/>
      <c r="C303" s="84" t="s">
        <v>232</v>
      </c>
      <c r="D303" s="84" t="s">
        <v>233</v>
      </c>
      <c r="E303" s="168">
        <v>1.4E-2</v>
      </c>
      <c r="F303" s="168">
        <v>1.4E-2</v>
      </c>
      <c r="G303" s="85">
        <v>0</v>
      </c>
      <c r="H303" s="174"/>
      <c r="J303" s="175"/>
      <c r="K303" s="201" t="s">
        <v>214</v>
      </c>
      <c r="L303" s="201" t="s">
        <v>215</v>
      </c>
      <c r="M303" s="203">
        <v>1E-3</v>
      </c>
      <c r="N303" s="203">
        <v>1E-3</v>
      </c>
      <c r="O303" s="203">
        <v>0</v>
      </c>
      <c r="P303" s="174"/>
    </row>
    <row r="304" spans="1:16" ht="11.5">
      <c r="A304" s="1"/>
      <c r="B304" s="175"/>
      <c r="C304" s="84" t="s">
        <v>250</v>
      </c>
      <c r="D304" s="84" t="s">
        <v>251</v>
      </c>
      <c r="E304" s="168">
        <v>3.0000000000000001E-3</v>
      </c>
      <c r="F304" s="168">
        <v>3.0000000000000001E-3</v>
      </c>
      <c r="G304" s="85">
        <v>1E-3</v>
      </c>
      <c r="H304" s="174"/>
      <c r="J304" s="175"/>
      <c r="K304" s="201" t="s">
        <v>238</v>
      </c>
      <c r="L304" s="201" t="s">
        <v>239</v>
      </c>
      <c r="M304" s="203">
        <v>0</v>
      </c>
      <c r="N304" s="203">
        <v>0</v>
      </c>
      <c r="O304" s="203">
        <v>0</v>
      </c>
      <c r="P304" s="174"/>
    </row>
    <row r="305" spans="1:16" ht="11.5">
      <c r="A305" s="1"/>
      <c r="B305" s="175"/>
      <c r="C305" s="84" t="s">
        <v>224</v>
      </c>
      <c r="D305" s="84" t="s">
        <v>225</v>
      </c>
      <c r="E305" s="168">
        <v>0.02</v>
      </c>
      <c r="F305" s="168">
        <v>0.02</v>
      </c>
      <c r="G305" s="85">
        <v>0</v>
      </c>
      <c r="H305" s="174"/>
      <c r="J305" s="175"/>
      <c r="K305" s="201" t="s">
        <v>246</v>
      </c>
      <c r="L305" s="201" t="s">
        <v>247</v>
      </c>
      <c r="M305" s="203">
        <v>0</v>
      </c>
      <c r="N305" s="203">
        <v>0</v>
      </c>
      <c r="O305" s="203">
        <v>0</v>
      </c>
      <c r="P305" s="174"/>
    </row>
    <row r="306" spans="1:16" ht="11.5">
      <c r="A306" s="1"/>
      <c r="B306" s="175"/>
      <c r="C306" s="84" t="s">
        <v>252</v>
      </c>
      <c r="D306" s="84" t="s">
        <v>253</v>
      </c>
      <c r="E306" s="85">
        <v>0</v>
      </c>
      <c r="F306" s="85">
        <v>0</v>
      </c>
      <c r="G306" s="85">
        <v>0</v>
      </c>
      <c r="H306" s="174"/>
      <c r="J306" s="175"/>
      <c r="K306" s="201" t="s">
        <v>252</v>
      </c>
      <c r="L306" s="201" t="s">
        <v>253</v>
      </c>
      <c r="M306" s="203">
        <v>0</v>
      </c>
      <c r="N306" s="203">
        <v>0</v>
      </c>
      <c r="O306" s="203">
        <v>0</v>
      </c>
      <c r="P306" s="174"/>
    </row>
    <row r="307" spans="1:16" ht="11.5">
      <c r="A307" s="1"/>
      <c r="B307" s="175"/>
      <c r="C307" s="173"/>
      <c r="D307" s="173"/>
      <c r="E307" s="173"/>
      <c r="F307" s="173"/>
      <c r="G307" s="173"/>
      <c r="H307" s="174"/>
      <c r="J307" s="175"/>
      <c r="K307" s="173"/>
      <c r="L307" s="173"/>
      <c r="M307" s="173"/>
      <c r="N307" s="173"/>
      <c r="O307" s="173"/>
      <c r="P307" s="174"/>
    </row>
    <row r="308" spans="1:16" ht="11.5">
      <c r="A308" s="1"/>
      <c r="B308" s="175"/>
      <c r="C308" s="11" t="s">
        <v>38</v>
      </c>
      <c r="D308" s="173"/>
      <c r="E308" s="173"/>
      <c r="F308" s="173"/>
      <c r="G308" s="173"/>
      <c r="H308" s="174"/>
      <c r="J308" s="175"/>
      <c r="K308" s="11" t="s">
        <v>38</v>
      </c>
      <c r="L308" s="173"/>
      <c r="M308" s="173"/>
      <c r="N308" s="173"/>
      <c r="O308" s="173"/>
      <c r="P308" s="174"/>
    </row>
    <row r="309" spans="1:16" ht="11.5">
      <c r="A309" s="1"/>
      <c r="B309" s="175"/>
      <c r="C309" s="11" t="s">
        <v>36</v>
      </c>
      <c r="D309" s="11" t="s">
        <v>39</v>
      </c>
      <c r="E309" s="173"/>
      <c r="F309" s="173"/>
      <c r="G309" s="173"/>
      <c r="H309" s="174"/>
      <c r="J309" s="175"/>
      <c r="K309" s="11" t="s">
        <v>36</v>
      </c>
      <c r="L309" s="11" t="s">
        <v>39</v>
      </c>
      <c r="M309" s="173"/>
      <c r="N309" s="173"/>
      <c r="O309" s="173"/>
      <c r="P309" s="174"/>
    </row>
    <row r="310" spans="1:16" ht="11.5">
      <c r="A310" s="1"/>
      <c r="B310" s="175"/>
      <c r="C310" s="173"/>
      <c r="D310" s="173"/>
      <c r="E310" s="173"/>
      <c r="F310" s="173"/>
      <c r="G310" s="173"/>
      <c r="H310" s="174"/>
      <c r="J310" s="175"/>
      <c r="K310" s="173"/>
      <c r="L310" s="173"/>
      <c r="M310" s="173"/>
      <c r="N310" s="173"/>
      <c r="O310" s="173"/>
      <c r="P310" s="174"/>
    </row>
    <row r="311" spans="1:16" ht="11.5">
      <c r="A311" s="1"/>
      <c r="B311" s="175"/>
      <c r="C311" s="11" t="s">
        <v>15</v>
      </c>
      <c r="D311" s="11" t="s">
        <v>303</v>
      </c>
      <c r="E311" s="173"/>
      <c r="F311" s="173"/>
      <c r="G311" s="173"/>
      <c r="H311" s="174"/>
      <c r="J311" s="175"/>
      <c r="K311" s="11" t="str">
        <f>C311</f>
        <v>GEO</v>
      </c>
      <c r="L311" s="11" t="str">
        <f>D311</f>
        <v>EU27_2020 - European Union - 27 countries (from 2020)</v>
      </c>
      <c r="M311" s="173"/>
      <c r="N311" s="173"/>
      <c r="O311" s="173"/>
      <c r="P311" s="174"/>
    </row>
    <row r="312" spans="1:16" ht="11.5">
      <c r="A312" s="1"/>
      <c r="B312" s="175"/>
      <c r="C312" s="11" t="s">
        <v>13</v>
      </c>
      <c r="D312" s="11" t="s">
        <v>114</v>
      </c>
      <c r="E312" s="173"/>
      <c r="F312" s="173"/>
      <c r="G312" s="173"/>
      <c r="H312" s="174"/>
      <c r="J312" s="175"/>
      <c r="K312" s="11" t="str">
        <f t="shared" ref="K312:K314" si="16">C312</f>
        <v>UNIT</v>
      </c>
      <c r="L312" s="11" t="str">
        <f t="shared" ref="L312:L314" si="17">D312</f>
        <v>Tonnes per capita</v>
      </c>
      <c r="M312" s="173"/>
      <c r="N312" s="173"/>
      <c r="O312" s="173"/>
      <c r="P312" s="174"/>
    </row>
    <row r="313" spans="1:16" ht="11.5">
      <c r="A313" s="1"/>
      <c r="B313" s="175"/>
      <c r="C313" s="11" t="s">
        <v>118</v>
      </c>
      <c r="D313" s="219">
        <f>Cover!C1</f>
        <v>2019</v>
      </c>
      <c r="E313" s="173"/>
      <c r="F313" s="173"/>
      <c r="G313" s="173"/>
      <c r="H313" s="174"/>
      <c r="J313" s="175"/>
      <c r="K313" s="11" t="str">
        <f t="shared" si="16"/>
        <v>TIME</v>
      </c>
      <c r="L313" s="11">
        <f t="shared" si="17"/>
        <v>2019</v>
      </c>
      <c r="M313" s="173"/>
      <c r="N313" s="173"/>
      <c r="O313" s="173"/>
      <c r="P313" s="174"/>
    </row>
    <row r="314" spans="1:16" ht="11.5">
      <c r="A314" s="1"/>
      <c r="B314" s="175"/>
      <c r="C314" s="11" t="s">
        <v>78</v>
      </c>
      <c r="D314" s="11" t="s">
        <v>257</v>
      </c>
      <c r="E314" s="173"/>
      <c r="F314" s="173"/>
      <c r="G314" s="173"/>
      <c r="H314" s="174"/>
      <c r="J314" s="175"/>
      <c r="K314" s="11" t="str">
        <f t="shared" si="16"/>
        <v>MATERIAL</v>
      </c>
      <c r="L314" s="11" t="str">
        <f t="shared" si="17"/>
        <v>MF4 - Fossil energy materials/carriers</v>
      </c>
      <c r="M314" s="173"/>
      <c r="N314" s="173"/>
      <c r="O314" s="173"/>
      <c r="P314" s="174"/>
    </row>
    <row r="315" spans="1:16" ht="11.5">
      <c r="A315" s="1"/>
      <c r="B315" s="175"/>
      <c r="C315" s="173"/>
      <c r="D315" s="173"/>
      <c r="E315" s="173"/>
      <c r="F315" s="173"/>
      <c r="G315" s="173"/>
      <c r="H315" s="174"/>
      <c r="J315" s="175"/>
      <c r="K315" s="173"/>
      <c r="L315" s="173"/>
      <c r="M315" s="173"/>
      <c r="N315" s="173"/>
      <c r="O315" s="173"/>
      <c r="P315" s="174"/>
    </row>
    <row r="316" spans="1:16" ht="11.5">
      <c r="A316" s="1"/>
      <c r="B316" s="175"/>
      <c r="C316" s="84" t="s">
        <v>120</v>
      </c>
      <c r="D316" s="84" t="s">
        <v>115</v>
      </c>
      <c r="E316" s="84" t="s">
        <v>93</v>
      </c>
      <c r="F316" s="84" t="s">
        <v>121</v>
      </c>
      <c r="G316" s="84" t="s">
        <v>122</v>
      </c>
      <c r="H316" s="174"/>
      <c r="J316" s="175"/>
      <c r="K316" s="196" t="s">
        <v>120</v>
      </c>
      <c r="L316" s="198" t="str">
        <f t="shared" ref="L316:O316" si="18">D316</f>
        <v>INDIC_ENV</v>
      </c>
      <c r="M316" s="198" t="str">
        <f t="shared" si="18"/>
        <v>RMC</v>
      </c>
      <c r="N316" s="198" t="str">
        <f t="shared" si="18"/>
        <v>RMC_P3</v>
      </c>
      <c r="O316" s="198" t="str">
        <f t="shared" si="18"/>
        <v>RMC_P5</v>
      </c>
      <c r="P316" s="174"/>
    </row>
    <row r="317" spans="1:16" ht="11.5">
      <c r="A317" s="1"/>
      <c r="B317" s="175"/>
      <c r="C317" s="84" t="s">
        <v>123</v>
      </c>
      <c r="D317" s="84" t="s">
        <v>124</v>
      </c>
      <c r="E317" s="84" t="s">
        <v>113</v>
      </c>
      <c r="F317" s="84" t="s">
        <v>125</v>
      </c>
      <c r="G317" s="84" t="s">
        <v>126</v>
      </c>
      <c r="H317" s="174"/>
      <c r="J317" s="175"/>
      <c r="K317" s="197" t="str">
        <f t="shared" ref="K317:O318" si="19">C317</f>
        <v>CPA08</v>
      </c>
      <c r="L317" s="199" t="str">
        <f t="shared" si="19"/>
        <v>CPA08(L)/INDIC_ENV(L)</v>
      </c>
      <c r="M317" s="199" t="str">
        <f t="shared" si="19"/>
        <v xml:space="preserve">Raw material consumption </v>
      </c>
      <c r="N317" s="199" t="str">
        <f t="shared" si="19"/>
        <v>Raw material consumption as result of final consumption expenditure</v>
      </c>
      <c r="O317" s="199" t="str">
        <f t="shared" si="19"/>
        <v xml:space="preserve">Raw material consumption as result of gross capital formation </v>
      </c>
      <c r="P317" s="174"/>
    </row>
    <row r="318" spans="1:16" ht="11.5">
      <c r="A318" s="1"/>
      <c r="B318" s="175"/>
      <c r="C318" s="84" t="s">
        <v>82</v>
      </c>
      <c r="D318" s="84" t="s">
        <v>127</v>
      </c>
      <c r="E318" s="168">
        <v>3.0659999999999998</v>
      </c>
      <c r="F318" s="168">
        <v>2.4159999999999999</v>
      </c>
      <c r="G318" s="168">
        <v>0.64900000000000002</v>
      </c>
      <c r="H318" s="174"/>
      <c r="J318" s="175"/>
      <c r="K318" s="200" t="str">
        <f t="shared" si="19"/>
        <v>TOTAL</v>
      </c>
      <c r="L318" s="200" t="str">
        <f t="shared" si="19"/>
        <v>Total CPA products</v>
      </c>
      <c r="M318" s="202">
        <f t="shared" si="19"/>
        <v>3.0659999999999998</v>
      </c>
      <c r="N318" s="202">
        <f t="shared" si="19"/>
        <v>2.4159999999999999</v>
      </c>
      <c r="O318" s="202">
        <f t="shared" si="19"/>
        <v>0.64900000000000002</v>
      </c>
      <c r="P318" s="174"/>
    </row>
    <row r="319" spans="1:16" ht="11.5">
      <c r="A319" s="1"/>
      <c r="B319" s="175"/>
      <c r="C319" s="84" t="s">
        <v>128</v>
      </c>
      <c r="D319" s="84" t="s">
        <v>129</v>
      </c>
      <c r="E319" s="168">
        <v>2.7E-2</v>
      </c>
      <c r="F319" s="168">
        <v>2.1999999999999999E-2</v>
      </c>
      <c r="G319" s="168">
        <v>5.0000000000000001E-3</v>
      </c>
      <c r="H319" s="174"/>
      <c r="J319" s="175"/>
      <c r="K319" s="201" t="s">
        <v>160</v>
      </c>
      <c r="L319" s="201" t="s">
        <v>161</v>
      </c>
      <c r="M319" s="203">
        <v>0.47499999999999998</v>
      </c>
      <c r="N319" s="203">
        <v>0.46100000000000002</v>
      </c>
      <c r="O319" s="203">
        <v>1.4E-2</v>
      </c>
      <c r="P319" s="174"/>
    </row>
    <row r="320" spans="1:16" ht="11.5">
      <c r="A320" s="1"/>
      <c r="B320" s="175"/>
      <c r="C320" s="84" t="s">
        <v>132</v>
      </c>
      <c r="D320" s="84" t="s">
        <v>133</v>
      </c>
      <c r="E320" s="168">
        <v>3.0000000000000001E-3</v>
      </c>
      <c r="F320" s="168">
        <v>2E-3</v>
      </c>
      <c r="G320" s="168">
        <v>1E-3</v>
      </c>
      <c r="H320" s="174"/>
      <c r="J320" s="175"/>
      <c r="K320" s="201" t="s">
        <v>140</v>
      </c>
      <c r="L320" s="201" t="s">
        <v>141</v>
      </c>
      <c r="M320" s="203">
        <v>0.40699999999999997</v>
      </c>
      <c r="N320" s="203">
        <v>0.40799999999999997</v>
      </c>
      <c r="O320" s="203">
        <v>0</v>
      </c>
      <c r="P320" s="174"/>
    </row>
    <row r="321" spans="1:16" ht="11.5">
      <c r="A321" s="1"/>
      <c r="B321" s="175"/>
      <c r="C321" s="84" t="s">
        <v>136</v>
      </c>
      <c r="D321" s="84" t="s">
        <v>137</v>
      </c>
      <c r="E321" s="168">
        <v>4.0000000000000001E-3</v>
      </c>
      <c r="F321" s="168">
        <v>4.0000000000000001E-3</v>
      </c>
      <c r="G321" s="168">
        <v>0</v>
      </c>
      <c r="H321" s="174"/>
      <c r="J321" s="175"/>
      <c r="K321" s="201" t="s">
        <v>138</v>
      </c>
      <c r="L321" s="201" t="s">
        <v>139</v>
      </c>
      <c r="M321" s="203">
        <v>0.29899999999999999</v>
      </c>
      <c r="N321" s="203">
        <v>0.23300000000000001</v>
      </c>
      <c r="O321" s="203">
        <v>6.6000000000000003E-2</v>
      </c>
      <c r="P321" s="174"/>
    </row>
    <row r="322" spans="1:16" ht="11.5">
      <c r="A322" s="1"/>
      <c r="B322" s="175"/>
      <c r="C322" s="84" t="s">
        <v>138</v>
      </c>
      <c r="D322" s="84" t="s">
        <v>139</v>
      </c>
      <c r="E322" s="168">
        <v>0.29899999999999999</v>
      </c>
      <c r="F322" s="168">
        <v>0.23300000000000001</v>
      </c>
      <c r="G322" s="168">
        <v>6.6000000000000003E-2</v>
      </c>
      <c r="H322" s="174"/>
      <c r="J322" s="175"/>
      <c r="K322" s="201" t="s">
        <v>130</v>
      </c>
      <c r="L322" s="201" t="s">
        <v>131</v>
      </c>
      <c r="M322" s="203">
        <v>0.216</v>
      </c>
      <c r="N322" s="203">
        <v>0.01</v>
      </c>
      <c r="O322" s="203">
        <v>0.20599999999999999</v>
      </c>
      <c r="P322" s="174"/>
    </row>
    <row r="323" spans="1:16" ht="11.5">
      <c r="A323" s="1"/>
      <c r="B323" s="175"/>
      <c r="C323" s="84" t="s">
        <v>134</v>
      </c>
      <c r="D323" s="84" t="s">
        <v>135</v>
      </c>
      <c r="E323" s="168">
        <v>0.19500000000000001</v>
      </c>
      <c r="F323" s="168">
        <v>0.188</v>
      </c>
      <c r="G323" s="168">
        <v>7.0000000000000001E-3</v>
      </c>
      <c r="H323" s="174"/>
      <c r="J323" s="175"/>
      <c r="K323" s="201" t="s">
        <v>134</v>
      </c>
      <c r="L323" s="201" t="s">
        <v>135</v>
      </c>
      <c r="M323" s="203">
        <v>0.19500000000000001</v>
      </c>
      <c r="N323" s="203">
        <v>0.188</v>
      </c>
      <c r="O323" s="203">
        <v>7.0000000000000001E-3</v>
      </c>
      <c r="P323" s="174"/>
    </row>
    <row r="324" spans="1:16" ht="11.5">
      <c r="A324" s="1"/>
      <c r="B324" s="175"/>
      <c r="C324" s="84" t="s">
        <v>144</v>
      </c>
      <c r="D324" s="84" t="s">
        <v>145</v>
      </c>
      <c r="E324" s="167">
        <v>3.9E-2</v>
      </c>
      <c r="F324" s="167">
        <v>3.4000000000000002E-2</v>
      </c>
      <c r="G324" s="168">
        <v>4.0000000000000001E-3</v>
      </c>
      <c r="H324" s="174"/>
      <c r="J324" s="175"/>
      <c r="K324" s="201" t="s">
        <v>154</v>
      </c>
      <c r="L324" s="201" t="s">
        <v>155</v>
      </c>
      <c r="M324" s="203">
        <v>0.14799999999999999</v>
      </c>
      <c r="N324" s="203">
        <v>0.14299999999999999</v>
      </c>
      <c r="O324" s="203">
        <v>5.0000000000000001E-3</v>
      </c>
      <c r="P324" s="174"/>
    </row>
    <row r="325" spans="1:16" ht="11.5">
      <c r="A325" s="1"/>
      <c r="B325" s="175"/>
      <c r="C325" s="84" t="s">
        <v>148</v>
      </c>
      <c r="D325" s="84" t="s">
        <v>149</v>
      </c>
      <c r="E325" s="168">
        <v>5.0000000000000001E-3</v>
      </c>
      <c r="F325" s="168">
        <v>3.0000000000000001E-3</v>
      </c>
      <c r="G325" s="168">
        <v>2E-3</v>
      </c>
      <c r="H325" s="174"/>
      <c r="J325" s="175"/>
      <c r="K325" s="201" t="s">
        <v>158</v>
      </c>
      <c r="L325" s="201" t="s">
        <v>159</v>
      </c>
      <c r="M325" s="203">
        <v>0.113</v>
      </c>
      <c r="N325" s="203">
        <v>5.6000000000000001E-2</v>
      </c>
      <c r="O325" s="203">
        <v>5.8000000000000003E-2</v>
      </c>
      <c r="P325" s="174"/>
    </row>
    <row r="326" spans="1:16" ht="11.5">
      <c r="A326" s="1"/>
      <c r="B326" s="175"/>
      <c r="C326" s="84" t="s">
        <v>152</v>
      </c>
      <c r="D326" s="84" t="s">
        <v>153</v>
      </c>
      <c r="E326" s="167">
        <v>1.4E-2</v>
      </c>
      <c r="F326" s="168">
        <v>1.6E-2</v>
      </c>
      <c r="G326" s="168">
        <v>-2E-3</v>
      </c>
      <c r="H326" s="174"/>
      <c r="J326" s="175"/>
      <c r="K326" s="201" t="s">
        <v>142</v>
      </c>
      <c r="L326" s="201" t="s">
        <v>143</v>
      </c>
      <c r="M326" s="203">
        <v>0.09</v>
      </c>
      <c r="N326" s="203">
        <v>0.09</v>
      </c>
      <c r="O326" s="203">
        <v>0</v>
      </c>
      <c r="P326" s="174"/>
    </row>
    <row r="327" spans="1:16" ht="11.5">
      <c r="A327" s="1"/>
      <c r="B327" s="175"/>
      <c r="C327" s="84" t="s">
        <v>156</v>
      </c>
      <c r="D327" s="84" t="s">
        <v>157</v>
      </c>
      <c r="E327" s="168">
        <v>1E-3</v>
      </c>
      <c r="F327" s="168">
        <v>2E-3</v>
      </c>
      <c r="G327" s="85">
        <v>-1E-3</v>
      </c>
      <c r="H327" s="174"/>
      <c r="J327" s="175"/>
      <c r="K327" s="201" t="s">
        <v>178</v>
      </c>
      <c r="L327" s="201" t="s">
        <v>179</v>
      </c>
      <c r="M327" s="203">
        <v>8.7999999999999995E-2</v>
      </c>
      <c r="N327" s="203">
        <v>8.3000000000000004E-2</v>
      </c>
      <c r="O327" s="203">
        <v>6.0000000000000001E-3</v>
      </c>
      <c r="P327" s="174"/>
    </row>
    <row r="328" spans="1:16" ht="11.5">
      <c r="A328" s="1"/>
      <c r="B328" s="175"/>
      <c r="C328" s="84" t="s">
        <v>160</v>
      </c>
      <c r="D328" s="84" t="s">
        <v>161</v>
      </c>
      <c r="E328" s="168">
        <v>0.47499999999999998</v>
      </c>
      <c r="F328" s="168">
        <v>0.46100000000000002</v>
      </c>
      <c r="G328" s="167">
        <v>1.4E-2</v>
      </c>
      <c r="H328" s="174"/>
      <c r="J328" s="175"/>
      <c r="K328" s="201" t="s">
        <v>164</v>
      </c>
      <c r="L328" s="201" t="s">
        <v>165</v>
      </c>
      <c r="M328" s="203">
        <v>7.6999999999999999E-2</v>
      </c>
      <c r="N328" s="203">
        <v>0.06</v>
      </c>
      <c r="O328" s="203">
        <v>1.7000000000000001E-2</v>
      </c>
      <c r="P328" s="174"/>
    </row>
    <row r="329" spans="1:16" ht="11.5">
      <c r="A329" s="1"/>
      <c r="B329" s="175"/>
      <c r="C329" s="84" t="s">
        <v>162</v>
      </c>
      <c r="D329" s="84" t="s">
        <v>163</v>
      </c>
      <c r="E329" s="168">
        <v>2.3E-2</v>
      </c>
      <c r="F329" s="168">
        <v>0.02</v>
      </c>
      <c r="G329" s="168">
        <v>3.0000000000000001E-3</v>
      </c>
      <c r="H329" s="174"/>
      <c r="J329" s="175"/>
      <c r="K329" s="201" t="s">
        <v>168</v>
      </c>
      <c r="L329" s="201" t="s">
        <v>169</v>
      </c>
      <c r="M329" s="203">
        <v>7.5999999999999998E-2</v>
      </c>
      <c r="N329" s="203">
        <v>7.5999999999999998E-2</v>
      </c>
      <c r="O329" s="203">
        <v>0</v>
      </c>
      <c r="P329" s="174"/>
    </row>
    <row r="330" spans="1:16" ht="11.5">
      <c r="A330" s="1"/>
      <c r="B330" s="175"/>
      <c r="C330" s="84" t="s">
        <v>166</v>
      </c>
      <c r="D330" s="84" t="s">
        <v>167</v>
      </c>
      <c r="E330" s="168">
        <v>0.02</v>
      </c>
      <c r="F330" s="167">
        <v>2.5000000000000001E-2</v>
      </c>
      <c r="G330" s="168">
        <v>-6.0000000000000001E-3</v>
      </c>
      <c r="H330" s="174"/>
      <c r="J330" s="175"/>
      <c r="K330" s="201" t="s">
        <v>150</v>
      </c>
      <c r="L330" s="201" t="s">
        <v>151</v>
      </c>
      <c r="M330" s="203">
        <v>7.0999999999999994E-2</v>
      </c>
      <c r="N330" s="203">
        <v>6.9000000000000006E-2</v>
      </c>
      <c r="O330" s="203">
        <v>2E-3</v>
      </c>
      <c r="P330" s="174"/>
    </row>
    <row r="331" spans="1:16" ht="11.5">
      <c r="A331" s="1"/>
      <c r="B331" s="175"/>
      <c r="C331" s="84" t="s">
        <v>170</v>
      </c>
      <c r="D331" s="84" t="s">
        <v>171</v>
      </c>
      <c r="E331" s="168">
        <v>1.2E-2</v>
      </c>
      <c r="F331" s="168">
        <v>0.01</v>
      </c>
      <c r="G331" s="168">
        <v>2E-3</v>
      </c>
      <c r="H331" s="174"/>
      <c r="J331" s="175"/>
      <c r="K331" s="201" t="s">
        <v>174</v>
      </c>
      <c r="L331" s="201" t="s">
        <v>175</v>
      </c>
      <c r="M331" s="203">
        <v>6.3E-2</v>
      </c>
      <c r="N331" s="203">
        <v>2E-3</v>
      </c>
      <c r="O331" s="203">
        <v>6.0999999999999999E-2</v>
      </c>
      <c r="P331" s="174"/>
    </row>
    <row r="332" spans="1:16" ht="11.5">
      <c r="A332" s="1"/>
      <c r="B332" s="175"/>
      <c r="C332" s="84" t="s">
        <v>172</v>
      </c>
      <c r="D332" s="84" t="s">
        <v>173</v>
      </c>
      <c r="E332" s="168">
        <v>1.2E-2</v>
      </c>
      <c r="F332" s="168">
        <v>1.0999999999999999E-2</v>
      </c>
      <c r="G332" s="168">
        <v>1E-3</v>
      </c>
      <c r="H332" s="174"/>
      <c r="J332" s="175"/>
      <c r="K332" s="201" t="s">
        <v>146</v>
      </c>
      <c r="L332" s="201" t="s">
        <v>147</v>
      </c>
      <c r="M332" s="203">
        <v>5.3999999999999999E-2</v>
      </c>
      <c r="N332" s="203">
        <v>5.3999999999999999E-2</v>
      </c>
      <c r="O332" s="203">
        <v>0</v>
      </c>
      <c r="P332" s="174"/>
    </row>
    <row r="333" spans="1:16" ht="11.5">
      <c r="A333" s="1"/>
      <c r="B333" s="175"/>
      <c r="C333" s="84" t="s">
        <v>176</v>
      </c>
      <c r="D333" s="84" t="s">
        <v>177</v>
      </c>
      <c r="E333" s="168">
        <v>3.0000000000000001E-3</v>
      </c>
      <c r="F333" s="85">
        <v>0</v>
      </c>
      <c r="G333" s="168">
        <v>3.0000000000000001E-3</v>
      </c>
      <c r="H333" s="174"/>
      <c r="J333" s="175"/>
      <c r="K333" s="201" t="s">
        <v>188</v>
      </c>
      <c r="L333" s="201" t="s">
        <v>189</v>
      </c>
      <c r="M333" s="203">
        <v>5.2999999999999999E-2</v>
      </c>
      <c r="N333" s="203">
        <v>6.0000000000000001E-3</v>
      </c>
      <c r="O333" s="203">
        <v>4.7E-2</v>
      </c>
      <c r="P333" s="174"/>
    </row>
    <row r="334" spans="1:16" ht="11.5">
      <c r="A334" s="1"/>
      <c r="B334" s="175"/>
      <c r="C334" s="84" t="s">
        <v>180</v>
      </c>
      <c r="D334" s="84" t="s">
        <v>181</v>
      </c>
      <c r="E334" s="168">
        <v>3.1E-2</v>
      </c>
      <c r="F334" s="167">
        <v>7.0000000000000001E-3</v>
      </c>
      <c r="G334" s="168">
        <v>2.4E-2</v>
      </c>
      <c r="H334" s="174"/>
      <c r="J334" s="175"/>
      <c r="K334" s="201" t="s">
        <v>192</v>
      </c>
      <c r="L334" s="201" t="s">
        <v>193</v>
      </c>
      <c r="M334" s="203">
        <v>4.2999999999999997E-2</v>
      </c>
      <c r="N334" s="203">
        <v>4.2999999999999997E-2</v>
      </c>
      <c r="O334" s="203">
        <v>0</v>
      </c>
      <c r="P334" s="174"/>
    </row>
    <row r="335" spans="1:16" ht="11.5">
      <c r="A335" s="1"/>
      <c r="B335" s="175"/>
      <c r="C335" s="84" t="s">
        <v>184</v>
      </c>
      <c r="D335" s="84" t="s">
        <v>185</v>
      </c>
      <c r="E335" s="167">
        <v>2.9000000000000001E-2</v>
      </c>
      <c r="F335" s="168">
        <v>1.0999999999999999E-2</v>
      </c>
      <c r="G335" s="168">
        <v>1.7999999999999999E-2</v>
      </c>
      <c r="H335" s="174"/>
      <c r="J335" s="175"/>
      <c r="K335" s="201" t="s">
        <v>144</v>
      </c>
      <c r="L335" s="201" t="s">
        <v>145</v>
      </c>
      <c r="M335" s="203">
        <v>3.9E-2</v>
      </c>
      <c r="N335" s="203">
        <v>3.4000000000000002E-2</v>
      </c>
      <c r="O335" s="203">
        <v>4.0000000000000001E-3</v>
      </c>
      <c r="P335" s="174"/>
    </row>
    <row r="336" spans="1:16" ht="11.5">
      <c r="A336" s="1"/>
      <c r="B336" s="175"/>
      <c r="C336" s="84" t="s">
        <v>186</v>
      </c>
      <c r="D336" s="84" t="s">
        <v>187</v>
      </c>
      <c r="E336" s="168">
        <v>2.7E-2</v>
      </c>
      <c r="F336" s="168">
        <v>1.2E-2</v>
      </c>
      <c r="G336" s="168">
        <v>1.4999999999999999E-2</v>
      </c>
      <c r="H336" s="174"/>
      <c r="J336" s="175"/>
      <c r="K336" s="201" t="s">
        <v>182</v>
      </c>
      <c r="L336" s="201" t="s">
        <v>183</v>
      </c>
      <c r="M336" s="203">
        <v>3.5000000000000003E-2</v>
      </c>
      <c r="N336" s="203">
        <v>2.1999999999999999E-2</v>
      </c>
      <c r="O336" s="203">
        <v>1.2999999999999999E-2</v>
      </c>
      <c r="P336" s="174"/>
    </row>
    <row r="337" spans="1:16" ht="11.5">
      <c r="A337" s="1"/>
      <c r="B337" s="175"/>
      <c r="C337" s="84" t="s">
        <v>174</v>
      </c>
      <c r="D337" s="84" t="s">
        <v>175</v>
      </c>
      <c r="E337" s="168">
        <v>6.3E-2</v>
      </c>
      <c r="F337" s="168">
        <v>2E-3</v>
      </c>
      <c r="G337" s="168">
        <v>6.0999999999999999E-2</v>
      </c>
      <c r="H337" s="174"/>
      <c r="J337" s="175"/>
      <c r="K337" s="201" t="s">
        <v>180</v>
      </c>
      <c r="L337" s="201" t="s">
        <v>181</v>
      </c>
      <c r="M337" s="203">
        <v>3.1E-2</v>
      </c>
      <c r="N337" s="203">
        <v>7.0000000000000001E-3</v>
      </c>
      <c r="O337" s="203">
        <v>2.4E-2</v>
      </c>
      <c r="P337" s="174"/>
    </row>
    <row r="338" spans="1:16" ht="11.5">
      <c r="A338" s="1"/>
      <c r="B338" s="175"/>
      <c r="C338" s="84" t="s">
        <v>158</v>
      </c>
      <c r="D338" s="84" t="s">
        <v>159</v>
      </c>
      <c r="E338" s="168">
        <v>0.113</v>
      </c>
      <c r="F338" s="167">
        <v>5.6000000000000001E-2</v>
      </c>
      <c r="G338" s="168">
        <v>5.8000000000000003E-2</v>
      </c>
      <c r="H338" s="174"/>
      <c r="J338" s="175"/>
      <c r="K338" s="201" t="s">
        <v>200</v>
      </c>
      <c r="L338" s="201" t="s">
        <v>201</v>
      </c>
      <c r="M338" s="203">
        <v>0.03</v>
      </c>
      <c r="N338" s="203">
        <v>0.03</v>
      </c>
      <c r="O338" s="203">
        <v>0</v>
      </c>
      <c r="P338" s="174"/>
    </row>
    <row r="339" spans="1:16" ht="11.5">
      <c r="A339" s="1"/>
      <c r="B339" s="175"/>
      <c r="C339" s="84" t="s">
        <v>190</v>
      </c>
      <c r="D339" s="84" t="s">
        <v>191</v>
      </c>
      <c r="E339" s="168">
        <v>0.02</v>
      </c>
      <c r="F339" s="168">
        <v>1E-3</v>
      </c>
      <c r="G339" s="168">
        <v>1.9E-2</v>
      </c>
      <c r="H339" s="174"/>
      <c r="J339" s="175"/>
      <c r="K339" s="201" t="s">
        <v>184</v>
      </c>
      <c r="L339" s="201" t="s">
        <v>185</v>
      </c>
      <c r="M339" s="203">
        <v>2.9000000000000001E-2</v>
      </c>
      <c r="N339" s="203">
        <v>1.0999999999999999E-2</v>
      </c>
      <c r="O339" s="203">
        <v>1.7999999999999999E-2</v>
      </c>
      <c r="P339" s="174"/>
    </row>
    <row r="340" spans="1:16" ht="11.5">
      <c r="A340" s="1"/>
      <c r="B340" s="175"/>
      <c r="C340" s="84" t="s">
        <v>182</v>
      </c>
      <c r="D340" s="84" t="s">
        <v>183</v>
      </c>
      <c r="E340" s="168">
        <v>3.5000000000000003E-2</v>
      </c>
      <c r="F340" s="168">
        <v>2.1999999999999999E-2</v>
      </c>
      <c r="G340" s="168">
        <v>1.2999999999999999E-2</v>
      </c>
      <c r="H340" s="174"/>
      <c r="J340" s="175"/>
      <c r="K340" s="201" t="s">
        <v>128</v>
      </c>
      <c r="L340" s="201" t="s">
        <v>129</v>
      </c>
      <c r="M340" s="203">
        <v>2.7E-2</v>
      </c>
      <c r="N340" s="203">
        <v>2.1999999999999999E-2</v>
      </c>
      <c r="O340" s="203">
        <v>5.0000000000000001E-3</v>
      </c>
      <c r="P340" s="174"/>
    </row>
    <row r="341" spans="1:16" ht="11.5">
      <c r="A341" s="1"/>
      <c r="B341" s="175"/>
      <c r="C341" s="84" t="s">
        <v>194</v>
      </c>
      <c r="D341" s="84" t="s">
        <v>195</v>
      </c>
      <c r="E341" s="168">
        <v>0.02</v>
      </c>
      <c r="F341" s="168">
        <v>0</v>
      </c>
      <c r="G341" s="167">
        <v>1.9E-2</v>
      </c>
      <c r="H341" s="174"/>
      <c r="J341" s="175"/>
      <c r="K341" s="201" t="s">
        <v>186</v>
      </c>
      <c r="L341" s="201" t="s">
        <v>187</v>
      </c>
      <c r="M341" s="203">
        <v>2.7E-2</v>
      </c>
      <c r="N341" s="203">
        <v>1.2E-2</v>
      </c>
      <c r="O341" s="203">
        <v>1.4999999999999999E-2</v>
      </c>
      <c r="P341" s="174"/>
    </row>
    <row r="342" spans="1:16" ht="11.5">
      <c r="A342" s="1"/>
      <c r="B342" s="175"/>
      <c r="C342" s="84" t="s">
        <v>140</v>
      </c>
      <c r="D342" s="84" t="s">
        <v>141</v>
      </c>
      <c r="E342" s="168">
        <v>0.40699999999999997</v>
      </c>
      <c r="F342" s="168">
        <v>0.40799999999999997</v>
      </c>
      <c r="G342" s="168">
        <v>0</v>
      </c>
      <c r="H342" s="174"/>
      <c r="J342" s="175"/>
      <c r="K342" s="201" t="s">
        <v>202</v>
      </c>
      <c r="L342" s="201" t="s">
        <v>203</v>
      </c>
      <c r="M342" s="203">
        <v>2.4E-2</v>
      </c>
      <c r="N342" s="203">
        <v>2.1000000000000001E-2</v>
      </c>
      <c r="O342" s="203">
        <v>3.0000000000000001E-3</v>
      </c>
      <c r="P342" s="174"/>
    </row>
    <row r="343" spans="1:16" ht="11.5">
      <c r="A343" s="1"/>
      <c r="B343" s="175"/>
      <c r="C343" s="84" t="s">
        <v>196</v>
      </c>
      <c r="D343" s="84" t="s">
        <v>197</v>
      </c>
      <c r="E343" s="168">
        <v>8.0000000000000002E-3</v>
      </c>
      <c r="F343" s="168">
        <v>8.0000000000000002E-3</v>
      </c>
      <c r="G343" s="85">
        <v>0</v>
      </c>
      <c r="H343" s="174"/>
      <c r="J343" s="175"/>
      <c r="K343" s="201" t="s">
        <v>162</v>
      </c>
      <c r="L343" s="201" t="s">
        <v>163</v>
      </c>
      <c r="M343" s="203">
        <v>2.3E-2</v>
      </c>
      <c r="N343" s="203">
        <v>0.02</v>
      </c>
      <c r="O343" s="203">
        <v>3.0000000000000001E-3</v>
      </c>
      <c r="P343" s="174"/>
    </row>
    <row r="344" spans="1:16" ht="11.5">
      <c r="A344" s="1"/>
      <c r="B344" s="175"/>
      <c r="C344" s="84" t="s">
        <v>198</v>
      </c>
      <c r="D344" s="84" t="s">
        <v>199</v>
      </c>
      <c r="E344" s="168">
        <v>8.0000000000000002E-3</v>
      </c>
      <c r="F344" s="168">
        <v>8.9999999999999993E-3</v>
      </c>
      <c r="G344" s="168">
        <v>0</v>
      </c>
      <c r="H344" s="174"/>
      <c r="J344" s="175"/>
      <c r="K344" s="201" t="s">
        <v>166</v>
      </c>
      <c r="L344" s="201" t="s">
        <v>167</v>
      </c>
      <c r="M344" s="203">
        <v>0.02</v>
      </c>
      <c r="N344" s="203">
        <v>2.5000000000000001E-2</v>
      </c>
      <c r="O344" s="203">
        <v>-6.0000000000000001E-3</v>
      </c>
      <c r="P344" s="174"/>
    </row>
    <row r="345" spans="1:16" ht="11.5">
      <c r="A345" s="1"/>
      <c r="B345" s="175"/>
      <c r="C345" s="84" t="s">
        <v>130</v>
      </c>
      <c r="D345" s="84" t="s">
        <v>131</v>
      </c>
      <c r="E345" s="167">
        <v>0.216</v>
      </c>
      <c r="F345" s="168">
        <v>0.01</v>
      </c>
      <c r="G345" s="168">
        <v>0.20599999999999999</v>
      </c>
      <c r="H345" s="174"/>
      <c r="J345" s="175"/>
      <c r="K345" s="201" t="s">
        <v>190</v>
      </c>
      <c r="L345" s="201" t="s">
        <v>191</v>
      </c>
      <c r="M345" s="203">
        <v>0.02</v>
      </c>
      <c r="N345" s="203">
        <v>1E-3</v>
      </c>
      <c r="O345" s="203">
        <v>1.9E-2</v>
      </c>
      <c r="P345" s="174"/>
    </row>
    <row r="346" spans="1:16" ht="11.5">
      <c r="A346" s="1"/>
      <c r="B346" s="175"/>
      <c r="C346" s="84" t="s">
        <v>202</v>
      </c>
      <c r="D346" s="84" t="s">
        <v>203</v>
      </c>
      <c r="E346" s="168">
        <v>2.4E-2</v>
      </c>
      <c r="F346" s="168">
        <v>2.1000000000000001E-2</v>
      </c>
      <c r="G346" s="168">
        <v>3.0000000000000001E-3</v>
      </c>
      <c r="H346" s="174"/>
      <c r="J346" s="175"/>
      <c r="K346" s="201" t="s">
        <v>194</v>
      </c>
      <c r="L346" s="201" t="s">
        <v>195</v>
      </c>
      <c r="M346" s="203">
        <v>0.02</v>
      </c>
      <c r="N346" s="203">
        <v>0</v>
      </c>
      <c r="O346" s="203">
        <v>1.9E-2</v>
      </c>
      <c r="P346" s="174"/>
    </row>
    <row r="347" spans="1:16" ht="11.5">
      <c r="A347" s="1"/>
      <c r="B347" s="175"/>
      <c r="C347" s="84" t="s">
        <v>164</v>
      </c>
      <c r="D347" s="84" t="s">
        <v>165</v>
      </c>
      <c r="E347" s="168">
        <v>7.6999999999999999E-2</v>
      </c>
      <c r="F347" s="168">
        <v>0.06</v>
      </c>
      <c r="G347" s="168">
        <v>1.7000000000000001E-2</v>
      </c>
      <c r="H347" s="174"/>
      <c r="J347" s="175"/>
      <c r="K347" s="201" t="s">
        <v>208</v>
      </c>
      <c r="L347" s="201" t="s">
        <v>209</v>
      </c>
      <c r="M347" s="203">
        <v>1.9E-2</v>
      </c>
      <c r="N347" s="203">
        <v>1.9E-2</v>
      </c>
      <c r="O347" s="203">
        <v>0</v>
      </c>
      <c r="P347" s="174"/>
    </row>
    <row r="348" spans="1:16" ht="11.5">
      <c r="A348" s="1"/>
      <c r="B348" s="175"/>
      <c r="C348" s="84" t="s">
        <v>178</v>
      </c>
      <c r="D348" s="84" t="s">
        <v>179</v>
      </c>
      <c r="E348" s="168">
        <v>8.7999999999999995E-2</v>
      </c>
      <c r="F348" s="168">
        <v>8.3000000000000004E-2</v>
      </c>
      <c r="G348" s="168">
        <v>6.0000000000000001E-3</v>
      </c>
      <c r="H348" s="174"/>
      <c r="J348" s="175"/>
      <c r="K348" s="201" t="s">
        <v>210</v>
      </c>
      <c r="L348" s="201" t="s">
        <v>211</v>
      </c>
      <c r="M348" s="203">
        <v>1.9E-2</v>
      </c>
      <c r="N348" s="203">
        <v>0</v>
      </c>
      <c r="O348" s="203">
        <v>1.7999999999999999E-2</v>
      </c>
      <c r="P348" s="174"/>
    </row>
    <row r="349" spans="1:16" ht="11.5">
      <c r="A349" s="1"/>
      <c r="B349" s="175"/>
      <c r="C349" s="84" t="s">
        <v>154</v>
      </c>
      <c r="D349" s="84" t="s">
        <v>155</v>
      </c>
      <c r="E349" s="168">
        <v>0.14799999999999999</v>
      </c>
      <c r="F349" s="168">
        <v>0.14299999999999999</v>
      </c>
      <c r="G349" s="168">
        <v>5.0000000000000001E-3</v>
      </c>
      <c r="H349" s="174"/>
      <c r="J349" s="175"/>
      <c r="K349" s="201" t="s">
        <v>224</v>
      </c>
      <c r="L349" s="201" t="s">
        <v>225</v>
      </c>
      <c r="M349" s="203">
        <v>1.7999999999999999E-2</v>
      </c>
      <c r="N349" s="203">
        <v>1.7999999999999999E-2</v>
      </c>
      <c r="O349" s="203">
        <v>0</v>
      </c>
      <c r="P349" s="174"/>
    </row>
    <row r="350" spans="1:16" ht="11.5">
      <c r="A350" s="1"/>
      <c r="B350" s="175"/>
      <c r="C350" s="84" t="s">
        <v>204</v>
      </c>
      <c r="D350" s="84" t="s">
        <v>205</v>
      </c>
      <c r="E350" s="168">
        <v>3.0000000000000001E-3</v>
      </c>
      <c r="F350" s="168">
        <v>5.0000000000000001E-3</v>
      </c>
      <c r="G350" s="85">
        <v>-1E-3</v>
      </c>
      <c r="H350" s="174"/>
      <c r="J350" s="175"/>
      <c r="K350" s="201" t="s">
        <v>206</v>
      </c>
      <c r="L350" s="201" t="s">
        <v>207</v>
      </c>
      <c r="M350" s="203">
        <v>1.6E-2</v>
      </c>
      <c r="N350" s="203">
        <v>1.6E-2</v>
      </c>
      <c r="O350" s="203">
        <v>0</v>
      </c>
      <c r="P350" s="174"/>
    </row>
    <row r="351" spans="1:16" ht="11.5">
      <c r="A351" s="1"/>
      <c r="B351" s="175"/>
      <c r="C351" s="84" t="s">
        <v>208</v>
      </c>
      <c r="D351" s="84" t="s">
        <v>209</v>
      </c>
      <c r="E351" s="168">
        <v>1.9E-2</v>
      </c>
      <c r="F351" s="168">
        <v>1.9E-2</v>
      </c>
      <c r="G351" s="85">
        <v>0</v>
      </c>
      <c r="H351" s="174"/>
      <c r="J351" s="175"/>
      <c r="K351" s="201" t="s">
        <v>248</v>
      </c>
      <c r="L351" s="201" t="s">
        <v>249</v>
      </c>
      <c r="M351" s="203">
        <v>1.6E-2</v>
      </c>
      <c r="N351" s="203">
        <v>1.6E-2</v>
      </c>
      <c r="O351" s="203">
        <v>0</v>
      </c>
      <c r="P351" s="174"/>
    </row>
    <row r="352" spans="1:16" ht="11.5">
      <c r="A352" s="1"/>
      <c r="B352" s="175"/>
      <c r="C352" s="84" t="s">
        <v>212</v>
      </c>
      <c r="D352" s="84" t="s">
        <v>213</v>
      </c>
      <c r="E352" s="168">
        <v>1.4999999999999999E-2</v>
      </c>
      <c r="F352" s="168">
        <v>1.4999999999999999E-2</v>
      </c>
      <c r="G352" s="85">
        <v>0</v>
      </c>
      <c r="H352" s="174"/>
      <c r="J352" s="175"/>
      <c r="K352" s="201" t="s">
        <v>212</v>
      </c>
      <c r="L352" s="201" t="s">
        <v>213</v>
      </c>
      <c r="M352" s="203">
        <v>1.4999999999999999E-2</v>
      </c>
      <c r="N352" s="203">
        <v>1.4999999999999999E-2</v>
      </c>
      <c r="O352" s="203">
        <v>0</v>
      </c>
      <c r="P352" s="174"/>
    </row>
    <row r="353" spans="1:16" ht="11.5">
      <c r="A353" s="1"/>
      <c r="B353" s="175"/>
      <c r="C353" s="84" t="s">
        <v>214</v>
      </c>
      <c r="D353" s="84" t="s">
        <v>215</v>
      </c>
      <c r="E353" s="168">
        <v>1E-3</v>
      </c>
      <c r="F353" s="168">
        <v>1E-3</v>
      </c>
      <c r="G353" s="85">
        <v>0</v>
      </c>
      <c r="H353" s="174"/>
      <c r="J353" s="175"/>
      <c r="K353" s="201" t="s">
        <v>152</v>
      </c>
      <c r="L353" s="201" t="s">
        <v>153</v>
      </c>
      <c r="M353" s="203">
        <v>1.4E-2</v>
      </c>
      <c r="N353" s="203">
        <v>1.6E-2</v>
      </c>
      <c r="O353" s="203">
        <v>-2E-3</v>
      </c>
      <c r="P353" s="174"/>
    </row>
    <row r="354" spans="1:16" ht="11.5">
      <c r="A354" s="1"/>
      <c r="B354" s="175"/>
      <c r="C354" s="84" t="s">
        <v>142</v>
      </c>
      <c r="D354" s="84" t="s">
        <v>143</v>
      </c>
      <c r="E354" s="168">
        <v>0.09</v>
      </c>
      <c r="F354" s="168">
        <v>0.09</v>
      </c>
      <c r="G354" s="85">
        <v>0</v>
      </c>
      <c r="H354" s="174"/>
      <c r="J354" s="175"/>
      <c r="K354" s="201" t="s">
        <v>216</v>
      </c>
      <c r="L354" s="201" t="s">
        <v>217</v>
      </c>
      <c r="M354" s="203">
        <v>1.2999999999999999E-2</v>
      </c>
      <c r="N354" s="203">
        <v>1.2999999999999999E-2</v>
      </c>
      <c r="O354" s="203">
        <v>1E-3</v>
      </c>
      <c r="P354" s="174"/>
    </row>
    <row r="355" spans="1:16" ht="11.5">
      <c r="A355" s="1"/>
      <c r="B355" s="175"/>
      <c r="C355" s="84" t="s">
        <v>218</v>
      </c>
      <c r="D355" s="84" t="s">
        <v>219</v>
      </c>
      <c r="E355" s="168">
        <v>8.9999999999999993E-3</v>
      </c>
      <c r="F355" s="168">
        <v>5.0000000000000001E-3</v>
      </c>
      <c r="G355" s="168">
        <v>3.0000000000000001E-3</v>
      </c>
      <c r="H355" s="174"/>
      <c r="J355" s="175"/>
      <c r="K355" s="201" t="s">
        <v>170</v>
      </c>
      <c r="L355" s="201" t="s">
        <v>171</v>
      </c>
      <c r="M355" s="203">
        <v>1.2E-2</v>
      </c>
      <c r="N355" s="203">
        <v>0.01</v>
      </c>
      <c r="O355" s="203">
        <v>2E-3</v>
      </c>
      <c r="P355" s="174"/>
    </row>
    <row r="356" spans="1:16" ht="11.5">
      <c r="A356" s="1"/>
      <c r="B356" s="175"/>
      <c r="C356" s="84" t="s">
        <v>222</v>
      </c>
      <c r="D356" s="84" t="s">
        <v>223</v>
      </c>
      <c r="E356" s="167">
        <v>8.0000000000000002E-3</v>
      </c>
      <c r="F356" s="168">
        <v>6.0000000000000001E-3</v>
      </c>
      <c r="G356" s="168">
        <v>2E-3</v>
      </c>
      <c r="H356" s="174"/>
      <c r="J356" s="175"/>
      <c r="K356" s="201" t="s">
        <v>172</v>
      </c>
      <c r="L356" s="201" t="s">
        <v>173</v>
      </c>
      <c r="M356" s="203">
        <v>1.2E-2</v>
      </c>
      <c r="N356" s="203">
        <v>1.0999999999999999E-2</v>
      </c>
      <c r="O356" s="203">
        <v>1E-3</v>
      </c>
      <c r="P356" s="174"/>
    </row>
    <row r="357" spans="1:16" ht="11.5">
      <c r="A357" s="1"/>
      <c r="B357" s="175"/>
      <c r="C357" s="84" t="s">
        <v>206</v>
      </c>
      <c r="D357" s="84" t="s">
        <v>207</v>
      </c>
      <c r="E357" s="167">
        <v>1.6E-2</v>
      </c>
      <c r="F357" s="167">
        <v>1.6E-2</v>
      </c>
      <c r="G357" s="85">
        <v>0</v>
      </c>
      <c r="H357" s="174"/>
      <c r="J357" s="175"/>
      <c r="K357" s="201" t="s">
        <v>226</v>
      </c>
      <c r="L357" s="201" t="s">
        <v>227</v>
      </c>
      <c r="M357" s="203">
        <v>1.0999999999999999E-2</v>
      </c>
      <c r="N357" s="203">
        <v>1.0999999999999999E-2</v>
      </c>
      <c r="O357" s="203">
        <v>0</v>
      </c>
      <c r="P357" s="174"/>
    </row>
    <row r="358" spans="1:16" ht="11.5">
      <c r="A358" s="1"/>
      <c r="B358" s="175"/>
      <c r="C358" s="84" t="s">
        <v>210</v>
      </c>
      <c r="D358" s="84" t="s">
        <v>211</v>
      </c>
      <c r="E358" s="168">
        <v>1.9E-2</v>
      </c>
      <c r="F358" s="168">
        <v>0</v>
      </c>
      <c r="G358" s="167">
        <v>1.7999999999999999E-2</v>
      </c>
      <c r="H358" s="174"/>
      <c r="J358" s="175"/>
      <c r="K358" s="201" t="s">
        <v>218</v>
      </c>
      <c r="L358" s="201" t="s">
        <v>219</v>
      </c>
      <c r="M358" s="203">
        <v>8.9999999999999993E-3</v>
      </c>
      <c r="N358" s="203">
        <v>5.0000000000000001E-3</v>
      </c>
      <c r="O358" s="203">
        <v>3.0000000000000001E-3</v>
      </c>
      <c r="P358" s="174"/>
    </row>
    <row r="359" spans="1:16" ht="11.5">
      <c r="A359" s="1"/>
      <c r="B359" s="175"/>
      <c r="C359" s="84" t="s">
        <v>228</v>
      </c>
      <c r="D359" s="84" t="s">
        <v>229</v>
      </c>
      <c r="E359" s="168">
        <v>6.0000000000000001E-3</v>
      </c>
      <c r="F359" s="168">
        <v>6.0000000000000001E-3</v>
      </c>
      <c r="G359" s="85">
        <v>0</v>
      </c>
      <c r="H359" s="174"/>
      <c r="J359" s="175"/>
      <c r="K359" s="201" t="s">
        <v>220</v>
      </c>
      <c r="L359" s="201" t="s">
        <v>221</v>
      </c>
      <c r="M359" s="203">
        <v>8.9999999999999993E-3</v>
      </c>
      <c r="N359" s="203">
        <v>8.9999999999999993E-3</v>
      </c>
      <c r="O359" s="203">
        <v>0</v>
      </c>
      <c r="P359" s="174"/>
    </row>
    <row r="360" spans="1:16" ht="11.5">
      <c r="A360" s="1"/>
      <c r="B360" s="175"/>
      <c r="C360" s="84" t="s">
        <v>220</v>
      </c>
      <c r="D360" s="84" t="s">
        <v>221</v>
      </c>
      <c r="E360" s="168">
        <v>8.9999999999999993E-3</v>
      </c>
      <c r="F360" s="168">
        <v>8.9999999999999993E-3</v>
      </c>
      <c r="G360" s="85">
        <v>0</v>
      </c>
      <c r="H360" s="174"/>
      <c r="J360" s="175"/>
      <c r="K360" s="201" t="s">
        <v>236</v>
      </c>
      <c r="L360" s="201" t="s">
        <v>237</v>
      </c>
      <c r="M360" s="203">
        <v>8.9999999999999993E-3</v>
      </c>
      <c r="N360" s="203">
        <v>1E-3</v>
      </c>
      <c r="O360" s="203">
        <v>8.0000000000000002E-3</v>
      </c>
      <c r="P360" s="174"/>
    </row>
    <row r="361" spans="1:16" ht="11.5">
      <c r="A361" s="1"/>
      <c r="B361" s="175"/>
      <c r="C361" s="84" t="s">
        <v>230</v>
      </c>
      <c r="D361" s="84" t="s">
        <v>231</v>
      </c>
      <c r="E361" s="168">
        <v>1E-3</v>
      </c>
      <c r="F361" s="168">
        <v>1E-3</v>
      </c>
      <c r="G361" s="85">
        <v>0</v>
      </c>
      <c r="H361" s="174"/>
      <c r="J361" s="175"/>
      <c r="K361" s="201" t="s">
        <v>232</v>
      </c>
      <c r="L361" s="201" t="s">
        <v>233</v>
      </c>
      <c r="M361" s="203">
        <v>8.9999999999999993E-3</v>
      </c>
      <c r="N361" s="203">
        <v>8.9999999999999993E-3</v>
      </c>
      <c r="O361" s="203">
        <v>0</v>
      </c>
      <c r="P361" s="174"/>
    </row>
    <row r="362" spans="1:16" ht="11.5">
      <c r="A362" s="1"/>
      <c r="B362" s="175"/>
      <c r="C362" s="84" t="s">
        <v>150</v>
      </c>
      <c r="D362" s="84" t="s">
        <v>151</v>
      </c>
      <c r="E362" s="168">
        <v>7.0999999999999994E-2</v>
      </c>
      <c r="F362" s="168">
        <v>6.9000000000000006E-2</v>
      </c>
      <c r="G362" s="168">
        <v>2E-3</v>
      </c>
      <c r="H362" s="174"/>
      <c r="J362" s="175"/>
      <c r="K362" s="201" t="s">
        <v>196</v>
      </c>
      <c r="L362" s="201" t="s">
        <v>197</v>
      </c>
      <c r="M362" s="203">
        <v>8.0000000000000002E-3</v>
      </c>
      <c r="N362" s="203">
        <v>8.0000000000000002E-3</v>
      </c>
      <c r="O362" s="203">
        <v>0</v>
      </c>
      <c r="P362" s="174"/>
    </row>
    <row r="363" spans="1:16" ht="11.5">
      <c r="A363" s="1"/>
      <c r="B363" s="175"/>
      <c r="C363" s="84" t="s">
        <v>234</v>
      </c>
      <c r="D363" s="84" t="s">
        <v>235</v>
      </c>
      <c r="E363" s="168">
        <v>4.0000000000000001E-3</v>
      </c>
      <c r="F363" s="168">
        <v>2E-3</v>
      </c>
      <c r="G363" s="168">
        <v>3.0000000000000001E-3</v>
      </c>
      <c r="H363" s="174"/>
      <c r="J363" s="175"/>
      <c r="K363" s="201" t="s">
        <v>198</v>
      </c>
      <c r="L363" s="201" t="s">
        <v>199</v>
      </c>
      <c r="M363" s="203">
        <v>8.0000000000000002E-3</v>
      </c>
      <c r="N363" s="203">
        <v>8.9999999999999993E-3</v>
      </c>
      <c r="O363" s="203">
        <v>0</v>
      </c>
      <c r="P363" s="174"/>
    </row>
    <row r="364" spans="1:16" ht="11.5">
      <c r="A364" s="1"/>
      <c r="B364" s="175"/>
      <c r="C364" s="84" t="s">
        <v>236</v>
      </c>
      <c r="D364" s="84" t="s">
        <v>237</v>
      </c>
      <c r="E364" s="167">
        <v>8.9999999999999993E-3</v>
      </c>
      <c r="F364" s="168">
        <v>1E-3</v>
      </c>
      <c r="G364" s="168">
        <v>8.0000000000000002E-3</v>
      </c>
      <c r="H364" s="174"/>
      <c r="J364" s="175"/>
      <c r="K364" s="201" t="s">
        <v>222</v>
      </c>
      <c r="L364" s="201" t="s">
        <v>223</v>
      </c>
      <c r="M364" s="203">
        <v>8.0000000000000002E-3</v>
      </c>
      <c r="N364" s="203">
        <v>6.0000000000000001E-3</v>
      </c>
      <c r="O364" s="203">
        <v>2E-3</v>
      </c>
      <c r="P364" s="174"/>
    </row>
    <row r="365" spans="1:16" ht="11.5">
      <c r="A365" s="1"/>
      <c r="B365" s="175"/>
      <c r="C365" s="84" t="s">
        <v>188</v>
      </c>
      <c r="D365" s="84" t="s">
        <v>189</v>
      </c>
      <c r="E365" s="167">
        <v>5.2999999999999999E-2</v>
      </c>
      <c r="F365" s="168">
        <v>6.0000000000000001E-3</v>
      </c>
      <c r="G365" s="168">
        <v>4.7E-2</v>
      </c>
      <c r="H365" s="174"/>
      <c r="J365" s="175"/>
      <c r="K365" s="201" t="s">
        <v>228</v>
      </c>
      <c r="L365" s="201" t="s">
        <v>229</v>
      </c>
      <c r="M365" s="203">
        <v>6.0000000000000001E-3</v>
      </c>
      <c r="N365" s="203">
        <v>6.0000000000000001E-3</v>
      </c>
      <c r="O365" s="203">
        <v>0</v>
      </c>
      <c r="P365" s="174"/>
    </row>
    <row r="366" spans="1:16" ht="11.5">
      <c r="A366" s="1"/>
      <c r="B366" s="175"/>
      <c r="C366" s="84" t="s">
        <v>238</v>
      </c>
      <c r="D366" s="84" t="s">
        <v>239</v>
      </c>
      <c r="E366" s="85">
        <v>0</v>
      </c>
      <c r="F366" s="85">
        <v>0</v>
      </c>
      <c r="G366" s="85">
        <v>0</v>
      </c>
      <c r="H366" s="174"/>
      <c r="J366" s="175"/>
      <c r="K366" s="201" t="s">
        <v>148</v>
      </c>
      <c r="L366" s="201" t="s">
        <v>149</v>
      </c>
      <c r="M366" s="203">
        <v>5.0000000000000001E-3</v>
      </c>
      <c r="N366" s="203">
        <v>3.0000000000000001E-3</v>
      </c>
      <c r="O366" s="203">
        <v>2E-3</v>
      </c>
      <c r="P366" s="174"/>
    </row>
    <row r="367" spans="1:16" ht="11.5">
      <c r="A367" s="1"/>
      <c r="B367" s="175"/>
      <c r="C367" s="84" t="s">
        <v>240</v>
      </c>
      <c r="D367" s="84" t="s">
        <v>241</v>
      </c>
      <c r="E367" s="168">
        <v>2E-3</v>
      </c>
      <c r="F367" s="168">
        <v>2E-3</v>
      </c>
      <c r="G367" s="85">
        <v>0</v>
      </c>
      <c r="H367" s="174"/>
      <c r="J367" s="175"/>
      <c r="K367" s="201" t="s">
        <v>244</v>
      </c>
      <c r="L367" s="201" t="s">
        <v>245</v>
      </c>
      <c r="M367" s="203">
        <v>5.0000000000000001E-3</v>
      </c>
      <c r="N367" s="203">
        <v>4.0000000000000001E-3</v>
      </c>
      <c r="O367" s="203">
        <v>1E-3</v>
      </c>
      <c r="P367" s="174"/>
    </row>
    <row r="368" spans="1:16" ht="11.5">
      <c r="A368" s="1"/>
      <c r="B368" s="175"/>
      <c r="C368" s="84" t="s">
        <v>242</v>
      </c>
      <c r="D368" s="84" t="s">
        <v>243</v>
      </c>
      <c r="E368" s="168">
        <v>4.0000000000000001E-3</v>
      </c>
      <c r="F368" s="168">
        <v>4.0000000000000001E-3</v>
      </c>
      <c r="G368" s="85">
        <v>0</v>
      </c>
      <c r="H368" s="174"/>
      <c r="J368" s="175"/>
      <c r="K368" s="201" t="s">
        <v>136</v>
      </c>
      <c r="L368" s="201" t="s">
        <v>137</v>
      </c>
      <c r="M368" s="203">
        <v>4.0000000000000001E-3</v>
      </c>
      <c r="N368" s="203">
        <v>4.0000000000000001E-3</v>
      </c>
      <c r="O368" s="203">
        <v>0</v>
      </c>
      <c r="P368" s="174"/>
    </row>
    <row r="369" spans="1:16" ht="11.5">
      <c r="A369" s="1"/>
      <c r="B369" s="175"/>
      <c r="C369" s="84" t="s">
        <v>246</v>
      </c>
      <c r="D369" s="84" t="s">
        <v>247</v>
      </c>
      <c r="E369" s="85">
        <v>0</v>
      </c>
      <c r="F369" s="85">
        <v>0</v>
      </c>
      <c r="G369" s="85">
        <v>0</v>
      </c>
      <c r="H369" s="174"/>
      <c r="J369" s="175"/>
      <c r="K369" s="201" t="s">
        <v>234</v>
      </c>
      <c r="L369" s="201" t="s">
        <v>235</v>
      </c>
      <c r="M369" s="203">
        <v>4.0000000000000001E-3</v>
      </c>
      <c r="N369" s="203">
        <v>2E-3</v>
      </c>
      <c r="O369" s="203">
        <v>3.0000000000000001E-3</v>
      </c>
      <c r="P369" s="174"/>
    </row>
    <row r="370" spans="1:16" ht="11.5">
      <c r="A370" s="1"/>
      <c r="B370" s="175"/>
      <c r="C370" s="84" t="s">
        <v>248</v>
      </c>
      <c r="D370" s="84" t="s">
        <v>249</v>
      </c>
      <c r="E370" s="168">
        <v>1.6E-2</v>
      </c>
      <c r="F370" s="168">
        <v>1.6E-2</v>
      </c>
      <c r="G370" s="85">
        <v>0</v>
      </c>
      <c r="H370" s="174"/>
      <c r="J370" s="175"/>
      <c r="K370" s="201" t="s">
        <v>242</v>
      </c>
      <c r="L370" s="201" t="s">
        <v>243</v>
      </c>
      <c r="M370" s="203">
        <v>4.0000000000000001E-3</v>
      </c>
      <c r="N370" s="203">
        <v>4.0000000000000001E-3</v>
      </c>
      <c r="O370" s="203">
        <v>0</v>
      </c>
      <c r="P370" s="174"/>
    </row>
    <row r="371" spans="1:16" ht="11.5">
      <c r="A371" s="1"/>
      <c r="B371" s="175"/>
      <c r="C371" s="84" t="s">
        <v>244</v>
      </c>
      <c r="D371" s="84" t="s">
        <v>245</v>
      </c>
      <c r="E371" s="168">
        <v>5.0000000000000001E-3</v>
      </c>
      <c r="F371" s="168">
        <v>4.0000000000000001E-3</v>
      </c>
      <c r="G371" s="168">
        <v>1E-3</v>
      </c>
      <c r="H371" s="174"/>
      <c r="J371" s="175"/>
      <c r="K371" s="201" t="s">
        <v>132</v>
      </c>
      <c r="L371" s="201" t="s">
        <v>133</v>
      </c>
      <c r="M371" s="203">
        <v>3.0000000000000001E-3</v>
      </c>
      <c r="N371" s="203">
        <v>2E-3</v>
      </c>
      <c r="O371" s="203">
        <v>1E-3</v>
      </c>
      <c r="P371" s="174"/>
    </row>
    <row r="372" spans="1:16" ht="11.5">
      <c r="A372" s="1"/>
      <c r="B372" s="175"/>
      <c r="C372" s="84" t="s">
        <v>146</v>
      </c>
      <c r="D372" s="84" t="s">
        <v>147</v>
      </c>
      <c r="E372" s="168">
        <v>5.3999999999999999E-2</v>
      </c>
      <c r="F372" s="168">
        <v>5.3999999999999999E-2</v>
      </c>
      <c r="G372" s="85">
        <v>0</v>
      </c>
      <c r="H372" s="174"/>
      <c r="J372" s="175"/>
      <c r="K372" s="201" t="s">
        <v>176</v>
      </c>
      <c r="L372" s="201" t="s">
        <v>177</v>
      </c>
      <c r="M372" s="203">
        <v>3.0000000000000001E-3</v>
      </c>
      <c r="N372" s="203">
        <v>0</v>
      </c>
      <c r="O372" s="203">
        <v>3.0000000000000001E-3</v>
      </c>
      <c r="P372" s="174"/>
    </row>
    <row r="373" spans="1:16" ht="11.5">
      <c r="A373" s="1"/>
      <c r="B373" s="175"/>
      <c r="C373" s="84" t="s">
        <v>192</v>
      </c>
      <c r="D373" s="84" t="s">
        <v>193</v>
      </c>
      <c r="E373" s="168">
        <v>4.2999999999999997E-2</v>
      </c>
      <c r="F373" s="168">
        <v>4.2999999999999997E-2</v>
      </c>
      <c r="G373" s="85">
        <v>0</v>
      </c>
      <c r="H373" s="174"/>
      <c r="J373" s="175"/>
      <c r="K373" s="201" t="s">
        <v>204</v>
      </c>
      <c r="L373" s="201" t="s">
        <v>205</v>
      </c>
      <c r="M373" s="203">
        <v>3.0000000000000001E-3</v>
      </c>
      <c r="N373" s="203">
        <v>5.0000000000000001E-3</v>
      </c>
      <c r="O373" s="203">
        <v>-1E-3</v>
      </c>
      <c r="P373" s="174"/>
    </row>
    <row r="374" spans="1:16" ht="11.5">
      <c r="A374" s="1"/>
      <c r="B374" s="175"/>
      <c r="C374" s="84" t="s">
        <v>168</v>
      </c>
      <c r="D374" s="84" t="s">
        <v>169</v>
      </c>
      <c r="E374" s="168">
        <v>7.5999999999999998E-2</v>
      </c>
      <c r="F374" s="168">
        <v>7.5999999999999998E-2</v>
      </c>
      <c r="G374" s="85">
        <v>0</v>
      </c>
      <c r="H374" s="174"/>
      <c r="J374" s="175"/>
      <c r="K374" s="201" t="s">
        <v>240</v>
      </c>
      <c r="L374" s="201" t="s">
        <v>241</v>
      </c>
      <c r="M374" s="203">
        <v>2E-3</v>
      </c>
      <c r="N374" s="203">
        <v>2E-3</v>
      </c>
      <c r="O374" s="203">
        <v>0</v>
      </c>
      <c r="P374" s="174"/>
    </row>
    <row r="375" spans="1:16" ht="11.5">
      <c r="A375" s="1"/>
      <c r="B375" s="175"/>
      <c r="C375" s="84" t="s">
        <v>200</v>
      </c>
      <c r="D375" s="84" t="s">
        <v>201</v>
      </c>
      <c r="E375" s="168">
        <v>0.03</v>
      </c>
      <c r="F375" s="168">
        <v>0.03</v>
      </c>
      <c r="G375" s="85">
        <v>0</v>
      </c>
      <c r="H375" s="174"/>
      <c r="J375" s="175"/>
      <c r="K375" s="201" t="s">
        <v>250</v>
      </c>
      <c r="L375" s="201" t="s">
        <v>251</v>
      </c>
      <c r="M375" s="203">
        <v>2E-3</v>
      </c>
      <c r="N375" s="203">
        <v>2E-3</v>
      </c>
      <c r="O375" s="203">
        <v>0</v>
      </c>
      <c r="P375" s="174"/>
    </row>
    <row r="376" spans="1:16" ht="11.5">
      <c r="A376" s="1"/>
      <c r="B376" s="175"/>
      <c r="C376" s="84" t="s">
        <v>216</v>
      </c>
      <c r="D376" s="84" t="s">
        <v>217</v>
      </c>
      <c r="E376" s="168">
        <v>1.2999999999999999E-2</v>
      </c>
      <c r="F376" s="168">
        <v>1.2999999999999999E-2</v>
      </c>
      <c r="G376" s="168">
        <v>1E-3</v>
      </c>
      <c r="H376" s="174"/>
      <c r="J376" s="175"/>
      <c r="K376" s="201" t="s">
        <v>156</v>
      </c>
      <c r="L376" s="201" t="s">
        <v>157</v>
      </c>
      <c r="M376" s="203">
        <v>1E-3</v>
      </c>
      <c r="N376" s="203">
        <v>2E-3</v>
      </c>
      <c r="O376" s="203">
        <v>-1E-3</v>
      </c>
      <c r="P376" s="174"/>
    </row>
    <row r="377" spans="1:16" ht="11.5">
      <c r="A377" s="1"/>
      <c r="B377" s="175"/>
      <c r="C377" s="84" t="s">
        <v>226</v>
      </c>
      <c r="D377" s="84" t="s">
        <v>227</v>
      </c>
      <c r="E377" s="168">
        <v>1.0999999999999999E-2</v>
      </c>
      <c r="F377" s="168">
        <v>1.0999999999999999E-2</v>
      </c>
      <c r="G377" s="85">
        <v>0</v>
      </c>
      <c r="H377" s="174"/>
      <c r="J377" s="175"/>
      <c r="K377" s="201" t="s">
        <v>214</v>
      </c>
      <c r="L377" s="201" t="s">
        <v>215</v>
      </c>
      <c r="M377" s="203">
        <v>1E-3</v>
      </c>
      <c r="N377" s="203">
        <v>1E-3</v>
      </c>
      <c r="O377" s="203">
        <v>0</v>
      </c>
      <c r="P377" s="174"/>
    </row>
    <row r="378" spans="1:16" ht="11.5">
      <c r="A378" s="1"/>
      <c r="B378" s="175"/>
      <c r="C378" s="84" t="s">
        <v>232</v>
      </c>
      <c r="D378" s="84" t="s">
        <v>233</v>
      </c>
      <c r="E378" s="168">
        <v>8.9999999999999993E-3</v>
      </c>
      <c r="F378" s="168">
        <v>8.9999999999999993E-3</v>
      </c>
      <c r="G378" s="85">
        <v>0</v>
      </c>
      <c r="H378" s="174"/>
      <c r="J378" s="175"/>
      <c r="K378" s="201" t="s">
        <v>230</v>
      </c>
      <c r="L378" s="201" t="s">
        <v>231</v>
      </c>
      <c r="M378" s="203">
        <v>1E-3</v>
      </c>
      <c r="N378" s="203">
        <v>1E-3</v>
      </c>
      <c r="O378" s="203">
        <v>0</v>
      </c>
      <c r="P378" s="174"/>
    </row>
    <row r="379" spans="1:16" ht="11.5">
      <c r="A379" s="1"/>
      <c r="B379" s="175"/>
      <c r="C379" s="84" t="s">
        <v>250</v>
      </c>
      <c r="D379" s="84" t="s">
        <v>251</v>
      </c>
      <c r="E379" s="168">
        <v>2E-3</v>
      </c>
      <c r="F379" s="168">
        <v>2E-3</v>
      </c>
      <c r="G379" s="85">
        <v>0</v>
      </c>
      <c r="H379" s="174"/>
      <c r="J379" s="175"/>
      <c r="K379" s="201" t="s">
        <v>238</v>
      </c>
      <c r="L379" s="201" t="s">
        <v>239</v>
      </c>
      <c r="M379" s="203">
        <v>0</v>
      </c>
      <c r="N379" s="203">
        <v>0</v>
      </c>
      <c r="O379" s="203">
        <v>0</v>
      </c>
      <c r="P379" s="174"/>
    </row>
    <row r="380" spans="1:16" ht="11.5">
      <c r="A380" s="1"/>
      <c r="B380" s="175"/>
      <c r="C380" s="84" t="s">
        <v>224</v>
      </c>
      <c r="D380" s="84" t="s">
        <v>225</v>
      </c>
      <c r="E380" s="168">
        <v>1.7999999999999999E-2</v>
      </c>
      <c r="F380" s="168">
        <v>1.7999999999999999E-2</v>
      </c>
      <c r="G380" s="85">
        <v>0</v>
      </c>
      <c r="H380" s="174"/>
      <c r="J380" s="175"/>
      <c r="K380" s="201" t="s">
        <v>246</v>
      </c>
      <c r="L380" s="201" t="s">
        <v>247</v>
      </c>
      <c r="M380" s="203">
        <v>0</v>
      </c>
      <c r="N380" s="203">
        <v>0</v>
      </c>
      <c r="O380" s="203">
        <v>0</v>
      </c>
      <c r="P380" s="174"/>
    </row>
    <row r="381" spans="1:16" ht="11.5">
      <c r="A381" s="1"/>
      <c r="B381" s="175"/>
      <c r="C381" s="84" t="s">
        <v>252</v>
      </c>
      <c r="D381" s="84" t="s">
        <v>253</v>
      </c>
      <c r="E381" s="85">
        <v>0</v>
      </c>
      <c r="F381" s="85">
        <v>0</v>
      </c>
      <c r="G381" s="85">
        <v>0</v>
      </c>
      <c r="H381" s="174"/>
      <c r="J381" s="175"/>
      <c r="K381" s="201" t="s">
        <v>252</v>
      </c>
      <c r="L381" s="201" t="s">
        <v>253</v>
      </c>
      <c r="M381" s="203">
        <v>0</v>
      </c>
      <c r="N381" s="203">
        <v>0</v>
      </c>
      <c r="O381" s="203">
        <v>0</v>
      </c>
      <c r="P381" s="174"/>
    </row>
    <row r="382" spans="1:16" ht="11.5">
      <c r="A382" s="1"/>
      <c r="B382" s="175"/>
      <c r="C382" s="173"/>
      <c r="D382" s="173"/>
      <c r="E382" s="173"/>
      <c r="F382" s="173"/>
      <c r="G382" s="173"/>
      <c r="H382" s="174"/>
      <c r="J382" s="175"/>
      <c r="K382" s="173"/>
      <c r="L382" s="173"/>
      <c r="M382" s="173"/>
      <c r="N382" s="173"/>
      <c r="O382" s="173"/>
      <c r="P382" s="174"/>
    </row>
    <row r="383" spans="1:16" ht="11.5">
      <c r="A383" s="1"/>
      <c r="B383" s="175"/>
      <c r="C383" s="11" t="s">
        <v>38</v>
      </c>
      <c r="D383" s="173"/>
      <c r="E383" s="173"/>
      <c r="F383" s="173"/>
      <c r="G383" s="173"/>
      <c r="H383" s="174"/>
      <c r="J383" s="175"/>
      <c r="K383" s="11" t="s">
        <v>38</v>
      </c>
      <c r="L383" s="173"/>
      <c r="M383" s="173"/>
      <c r="N383" s="173"/>
      <c r="O383" s="173"/>
      <c r="P383" s="174"/>
    </row>
    <row r="384" spans="1:16" ht="11.5">
      <c r="A384" s="1"/>
      <c r="B384" s="175"/>
      <c r="C384" s="11" t="s">
        <v>36</v>
      </c>
      <c r="D384" s="11" t="s">
        <v>39</v>
      </c>
      <c r="E384" s="173"/>
      <c r="F384" s="173"/>
      <c r="G384" s="173"/>
      <c r="H384" s="174"/>
      <c r="J384" s="175"/>
      <c r="K384" s="11" t="s">
        <v>36</v>
      </c>
      <c r="L384" s="11" t="s">
        <v>39</v>
      </c>
      <c r="M384" s="173"/>
      <c r="N384" s="173"/>
      <c r="O384" s="173"/>
      <c r="P384" s="174"/>
    </row>
    <row r="385" spans="2:16" ht="15" thickBot="1">
      <c r="B385" s="176"/>
      <c r="C385" s="177"/>
      <c r="D385" s="177"/>
      <c r="E385" s="177"/>
      <c r="F385" s="177"/>
      <c r="G385" s="177"/>
      <c r="H385" s="178"/>
      <c r="J385" s="180"/>
      <c r="K385" s="177"/>
      <c r="L385" s="177"/>
      <c r="M385" s="177"/>
      <c r="N385" s="177"/>
      <c r="O385" s="177"/>
      <c r="P385" s="178"/>
    </row>
  </sheetData>
  <sortState ref="K317:O381">
    <sortCondition descending="1" ref="M319"/>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F174"/>
  <sheetViews>
    <sheetView showGridLines="0" zoomScaleNormal="100" workbookViewId="0"/>
  </sheetViews>
  <sheetFormatPr defaultColWidth="8.81640625" defaultRowHeight="11.5"/>
  <cols>
    <col min="1" max="2" width="4.7265625" style="3" customWidth="1"/>
    <col min="3" max="3" width="11.26953125" style="3" customWidth="1"/>
    <col min="4" max="4" width="28" style="3" customWidth="1"/>
    <col min="5" max="5" width="8.453125" style="3" customWidth="1"/>
    <col min="6" max="6" width="33" style="3" bestFit="1" customWidth="1"/>
    <col min="7" max="7" width="8.81640625" style="3"/>
    <col min="8" max="8" width="8.81640625" style="3" customWidth="1"/>
    <col min="9" max="9" width="10.1796875" style="3" bestFit="1" customWidth="1"/>
    <col min="10" max="23" width="8.81640625" style="3"/>
    <col min="24" max="24" width="8.90625" style="3" customWidth="1"/>
    <col min="25" max="16384" width="8.81640625" style="3"/>
  </cols>
  <sheetData>
    <row r="1" spans="1:28" ht="15.5">
      <c r="A1" s="222" t="s">
        <v>49</v>
      </c>
    </row>
    <row r="2" spans="1:28" ht="12" thickBot="1"/>
    <row r="3" spans="1:28">
      <c r="B3" s="116" t="s">
        <v>51</v>
      </c>
      <c r="C3" s="19"/>
      <c r="D3" s="19"/>
      <c r="E3" s="19"/>
      <c r="F3" s="19" t="s">
        <v>97</v>
      </c>
      <c r="G3" s="117" t="s">
        <v>302</v>
      </c>
      <c r="H3" s="19"/>
      <c r="I3" s="19"/>
      <c r="J3" s="19"/>
      <c r="K3" s="19"/>
      <c r="L3" s="19"/>
      <c r="M3" s="19"/>
      <c r="N3" s="19"/>
      <c r="O3" s="19"/>
      <c r="P3" s="19"/>
      <c r="Q3" s="19"/>
      <c r="R3" s="19"/>
      <c r="S3" s="19"/>
      <c r="T3" s="19"/>
      <c r="U3" s="19"/>
      <c r="V3" s="19"/>
      <c r="W3" s="19"/>
      <c r="X3" s="19"/>
      <c r="Y3" s="19"/>
      <c r="Z3" s="19"/>
      <c r="AA3" s="19"/>
      <c r="AB3" s="20"/>
    </row>
    <row r="4" spans="1:28">
      <c r="B4" s="13"/>
      <c r="C4" s="15"/>
      <c r="D4" s="15"/>
      <c r="E4" s="15"/>
      <c r="F4" s="15"/>
      <c r="G4" s="15"/>
      <c r="H4" s="15"/>
      <c r="I4" s="15"/>
      <c r="J4" s="15"/>
      <c r="K4" s="15"/>
      <c r="L4" s="15"/>
      <c r="M4" s="15"/>
      <c r="N4" s="15"/>
      <c r="O4" s="15"/>
      <c r="P4" s="15"/>
      <c r="Q4" s="15"/>
      <c r="R4" s="15"/>
      <c r="S4" s="15"/>
      <c r="T4" s="15"/>
      <c r="U4" s="15"/>
      <c r="V4" s="15"/>
      <c r="W4" s="15"/>
      <c r="X4" s="15"/>
      <c r="Y4" s="15"/>
      <c r="Z4" s="15"/>
      <c r="AA4" s="15"/>
      <c r="AB4" s="14"/>
    </row>
    <row r="5" spans="1:28">
      <c r="B5" s="13"/>
      <c r="C5" s="11" t="s">
        <v>30</v>
      </c>
      <c r="D5" s="11"/>
      <c r="E5" s="11"/>
      <c r="F5" s="15"/>
      <c r="G5" s="155"/>
      <c r="H5" s="15"/>
      <c r="I5" s="15"/>
      <c r="J5" s="15"/>
      <c r="K5" s="15"/>
      <c r="L5" s="15"/>
      <c r="M5" s="15"/>
      <c r="N5" s="15"/>
      <c r="O5" s="15"/>
      <c r="P5" s="15"/>
      <c r="Q5" s="15"/>
      <c r="R5" s="15"/>
      <c r="S5" s="15"/>
      <c r="T5" s="15"/>
      <c r="U5" s="15"/>
      <c r="V5" s="15"/>
      <c r="W5" s="15"/>
      <c r="X5" s="15"/>
      <c r="Y5" s="15"/>
      <c r="Z5" s="15"/>
      <c r="AA5" s="15"/>
      <c r="AB5" s="14"/>
    </row>
    <row r="6" spans="1:28">
      <c r="B6" s="13"/>
      <c r="C6" s="15"/>
      <c r="D6" s="15"/>
      <c r="E6" s="15"/>
      <c r="F6" s="15"/>
      <c r="G6" s="15"/>
      <c r="H6" s="15"/>
      <c r="I6" s="15"/>
      <c r="J6" s="15"/>
      <c r="K6" s="15"/>
      <c r="L6" s="15"/>
      <c r="M6" s="15"/>
      <c r="N6" s="15"/>
      <c r="O6" s="15"/>
      <c r="P6" s="15"/>
      <c r="Q6" s="15"/>
      <c r="R6" s="15"/>
      <c r="S6" s="15"/>
      <c r="T6" s="15"/>
      <c r="U6" s="15"/>
      <c r="V6" s="15"/>
      <c r="W6" s="15"/>
      <c r="X6" s="15"/>
      <c r="Y6" s="15"/>
      <c r="Z6" s="15"/>
      <c r="AA6" s="15"/>
      <c r="AB6" s="14"/>
    </row>
    <row r="7" spans="1:28">
      <c r="B7" s="13"/>
      <c r="C7" s="11" t="s">
        <v>9</v>
      </c>
      <c r="D7" s="166">
        <v>44377.472604166665</v>
      </c>
      <c r="G7" s="15"/>
      <c r="H7" s="15"/>
      <c r="I7" s="15"/>
      <c r="J7" s="15"/>
      <c r="K7" s="15"/>
      <c r="L7" s="15"/>
      <c r="M7" s="15"/>
      <c r="N7" s="15"/>
      <c r="O7" s="15"/>
      <c r="P7" s="15"/>
      <c r="Q7" s="15"/>
      <c r="R7" s="15"/>
      <c r="S7" s="15"/>
      <c r="T7" s="15"/>
      <c r="U7" s="15"/>
      <c r="V7" s="15"/>
      <c r="W7" s="15"/>
      <c r="X7" s="15"/>
      <c r="Y7" s="15"/>
      <c r="Z7" s="15"/>
      <c r="AA7" s="15"/>
      <c r="AB7" s="14"/>
    </row>
    <row r="8" spans="1:28">
      <c r="B8" s="13"/>
      <c r="C8" s="11" t="s">
        <v>10</v>
      </c>
      <c r="D8" s="166">
        <v>44439.649933437497</v>
      </c>
      <c r="G8" s="15"/>
      <c r="H8" s="15"/>
      <c r="I8" s="15"/>
      <c r="J8" s="15"/>
      <c r="K8" s="15"/>
      <c r="L8" s="15"/>
      <c r="M8" s="15"/>
      <c r="N8" s="15"/>
      <c r="O8" s="15"/>
      <c r="P8" s="15"/>
      <c r="Q8" s="15"/>
      <c r="R8" s="15"/>
      <c r="S8" s="15"/>
      <c r="T8" s="15"/>
      <c r="U8" s="15"/>
      <c r="V8" s="15"/>
      <c r="W8" s="15"/>
      <c r="X8" s="15"/>
      <c r="Y8" s="15"/>
      <c r="Z8" s="15"/>
      <c r="AA8" s="15"/>
      <c r="AB8" s="14"/>
    </row>
    <row r="9" spans="1:28">
      <c r="B9" s="13"/>
      <c r="C9" s="11" t="s">
        <v>11</v>
      </c>
      <c r="D9" s="11" t="s">
        <v>12</v>
      </c>
      <c r="G9" s="15"/>
      <c r="H9" s="15"/>
      <c r="I9" s="15"/>
      <c r="J9" s="15"/>
      <c r="K9" s="15"/>
      <c r="L9" s="15"/>
      <c r="M9" s="15"/>
      <c r="N9" s="15"/>
      <c r="O9" s="15"/>
      <c r="P9" s="15"/>
      <c r="Q9" s="15"/>
      <c r="R9" s="15"/>
      <c r="S9" s="15"/>
      <c r="T9" s="15"/>
      <c r="U9" s="15"/>
      <c r="V9" s="15"/>
      <c r="W9" s="15"/>
      <c r="X9" s="15"/>
      <c r="Y9" s="15"/>
      <c r="Z9" s="15"/>
      <c r="AA9" s="15"/>
      <c r="AB9" s="14"/>
    </row>
    <row r="10" spans="1:28">
      <c r="B10" s="13"/>
      <c r="G10" s="15"/>
      <c r="H10" s="15"/>
      <c r="I10" s="15"/>
      <c r="J10" s="15"/>
      <c r="K10" s="15"/>
      <c r="L10" s="15"/>
      <c r="M10" s="15"/>
      <c r="N10" s="15"/>
      <c r="O10" s="15"/>
      <c r="P10" s="15"/>
      <c r="Q10" s="15"/>
      <c r="R10" s="15"/>
      <c r="S10" s="15"/>
      <c r="T10" s="15"/>
      <c r="U10" s="15"/>
      <c r="V10" s="15"/>
      <c r="W10" s="15"/>
      <c r="X10" s="15"/>
      <c r="Y10" s="15"/>
      <c r="Z10" s="15"/>
      <c r="AA10" s="15"/>
      <c r="AB10" s="14"/>
    </row>
    <row r="11" spans="1:28">
      <c r="B11" s="13"/>
      <c r="C11" s="11" t="s">
        <v>13</v>
      </c>
      <c r="D11" s="11" t="s">
        <v>90</v>
      </c>
      <c r="G11" s="15"/>
      <c r="H11" s="15"/>
      <c r="I11" s="15"/>
      <c r="J11" s="15"/>
      <c r="K11" s="15"/>
      <c r="L11" s="15"/>
      <c r="M11" s="15"/>
      <c r="N11" s="15"/>
      <c r="O11" s="15"/>
      <c r="P11" s="15"/>
      <c r="Q11" s="15"/>
      <c r="R11" s="15"/>
      <c r="S11" s="15"/>
      <c r="T11" s="15"/>
      <c r="U11" s="15"/>
      <c r="V11" s="15"/>
      <c r="W11" s="15"/>
      <c r="X11" s="15"/>
      <c r="Y11" s="15"/>
      <c r="Z11" s="15"/>
      <c r="AA11" s="15"/>
      <c r="AB11" s="14"/>
    </row>
    <row r="12" spans="1:28">
      <c r="B12" s="13"/>
      <c r="C12" s="11" t="s">
        <v>15</v>
      </c>
      <c r="D12" s="11" t="s">
        <v>303</v>
      </c>
      <c r="G12" s="15"/>
      <c r="H12" s="15"/>
      <c r="I12" s="15"/>
      <c r="J12" s="15"/>
      <c r="K12" s="15"/>
      <c r="L12" s="15"/>
      <c r="M12" s="15"/>
      <c r="N12" s="15"/>
      <c r="O12" s="15"/>
      <c r="P12" s="15"/>
      <c r="Q12" s="15"/>
      <c r="R12" s="15"/>
      <c r="S12" s="15"/>
      <c r="T12" s="15"/>
      <c r="U12" s="15"/>
      <c r="V12" s="15"/>
      <c r="W12" s="15"/>
      <c r="X12" s="15"/>
      <c r="Y12" s="15"/>
      <c r="Z12" s="15"/>
      <c r="AA12" s="15"/>
      <c r="AB12" s="14"/>
    </row>
    <row r="13" spans="1:28">
      <c r="B13" s="13"/>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4"/>
    </row>
    <row r="14" spans="1:28">
      <c r="B14" s="13"/>
      <c r="C14" s="84" t="s">
        <v>42</v>
      </c>
      <c r="D14" s="84" t="s">
        <v>77</v>
      </c>
      <c r="E14" s="84" t="s">
        <v>78</v>
      </c>
      <c r="F14" s="84" t="s">
        <v>79</v>
      </c>
      <c r="G14" s="84" t="s">
        <v>16</v>
      </c>
      <c r="H14" s="84" t="s">
        <v>17</v>
      </c>
      <c r="I14" s="84" t="s">
        <v>18</v>
      </c>
      <c r="J14" s="84" t="s">
        <v>19</v>
      </c>
      <c r="K14" s="84" t="s">
        <v>20</v>
      </c>
      <c r="L14" s="84" t="s">
        <v>21</v>
      </c>
      <c r="M14" s="84" t="s">
        <v>22</v>
      </c>
      <c r="N14" s="84" t="s">
        <v>23</v>
      </c>
      <c r="O14" s="84" t="s">
        <v>24</v>
      </c>
      <c r="P14" s="84" t="s">
        <v>25</v>
      </c>
      <c r="Q14" s="84" t="s">
        <v>26</v>
      </c>
      <c r="R14" s="84" t="s">
        <v>27</v>
      </c>
      <c r="S14" s="84" t="s">
        <v>28</v>
      </c>
      <c r="T14" s="84" t="s">
        <v>48</v>
      </c>
      <c r="U14" s="84" t="s">
        <v>76</v>
      </c>
      <c r="V14" s="84" t="s">
        <v>101</v>
      </c>
      <c r="W14" s="84" t="s">
        <v>106</v>
      </c>
      <c r="X14" s="84" t="s">
        <v>289</v>
      </c>
      <c r="Y14" s="84" t="s">
        <v>291</v>
      </c>
      <c r="Z14" s="84" t="s">
        <v>300</v>
      </c>
      <c r="AA14" s="84" t="s">
        <v>326</v>
      </c>
      <c r="AB14" s="14"/>
    </row>
    <row r="15" spans="1:28">
      <c r="B15" s="13"/>
      <c r="C15" s="84" t="s">
        <v>80</v>
      </c>
      <c r="D15" s="84" t="s">
        <v>1</v>
      </c>
      <c r="E15" s="84" t="s">
        <v>82</v>
      </c>
      <c r="F15" s="84" t="s">
        <v>14</v>
      </c>
      <c r="G15" s="118">
        <v>5553779.4000000004</v>
      </c>
      <c r="H15" s="118">
        <v>5599114.6900000004</v>
      </c>
      <c r="I15" s="118">
        <v>5617192.7149999999</v>
      </c>
      <c r="J15" s="118">
        <v>5610321.4129999997</v>
      </c>
      <c r="K15" s="118">
        <v>5894589.7259999998</v>
      </c>
      <c r="L15" s="118">
        <v>5954486.4309999999</v>
      </c>
      <c r="M15" s="118">
        <v>6108004.301</v>
      </c>
      <c r="N15" s="118">
        <v>6366184.8849999998</v>
      </c>
      <c r="O15" s="118">
        <v>6253011.8020000001</v>
      </c>
      <c r="P15" s="118">
        <v>5582862.7379999999</v>
      </c>
      <c r="Q15" s="118">
        <v>5338869.0520000001</v>
      </c>
      <c r="R15" s="118">
        <v>5666757.0710000005</v>
      </c>
      <c r="S15" s="118">
        <v>5248892.0920000002</v>
      </c>
      <c r="T15" s="118">
        <v>5136596.1129999999</v>
      </c>
      <c r="U15" s="118">
        <v>5190920.1679999996</v>
      </c>
      <c r="V15" s="118">
        <v>5123302.915</v>
      </c>
      <c r="W15" s="118">
        <v>5117857.1169999996</v>
      </c>
      <c r="X15" s="118">
        <v>5297903.2180000003</v>
      </c>
      <c r="Y15" s="118">
        <v>5335027.5810000002</v>
      </c>
      <c r="Z15" s="118">
        <v>5325644.7230000002</v>
      </c>
      <c r="AA15" s="118">
        <v>5169007.1540000001</v>
      </c>
      <c r="AB15" s="14"/>
    </row>
    <row r="16" spans="1:28">
      <c r="B16" s="13"/>
      <c r="C16" s="84" t="s">
        <v>80</v>
      </c>
      <c r="D16" s="84" t="s">
        <v>1</v>
      </c>
      <c r="E16" s="84" t="s">
        <v>83</v>
      </c>
      <c r="F16" s="84" t="s">
        <v>31</v>
      </c>
      <c r="G16" s="118">
        <v>1467311.808</v>
      </c>
      <c r="H16" s="118">
        <v>1446969.068</v>
      </c>
      <c r="I16" s="118">
        <v>1447957.7209999999</v>
      </c>
      <c r="J16" s="118">
        <v>1341056.2860000001</v>
      </c>
      <c r="K16" s="118">
        <v>1534428.284</v>
      </c>
      <c r="L16" s="118">
        <v>1470233.2960000001</v>
      </c>
      <c r="M16" s="118">
        <v>1394602.774</v>
      </c>
      <c r="N16" s="118">
        <v>1443096.1610000001</v>
      </c>
      <c r="O16" s="118">
        <v>1485963.0870000001</v>
      </c>
      <c r="P16" s="118">
        <v>1457148.828</v>
      </c>
      <c r="Q16" s="118">
        <v>1421195.196</v>
      </c>
      <c r="R16" s="118">
        <v>1489082.0519999999</v>
      </c>
      <c r="S16" s="118">
        <v>1430291.466</v>
      </c>
      <c r="T16" s="118">
        <v>1475221.145</v>
      </c>
      <c r="U16" s="118">
        <v>1576154.817</v>
      </c>
      <c r="V16" s="118">
        <v>1469058.8740000001</v>
      </c>
      <c r="W16" s="118">
        <v>1495265.486</v>
      </c>
      <c r="X16" s="118">
        <v>1538468.273</v>
      </c>
      <c r="Y16" s="118">
        <v>1480654.0190000001</v>
      </c>
      <c r="Z16" s="118">
        <v>1477742.8370000001</v>
      </c>
      <c r="AA16" s="118">
        <v>1485398.537</v>
      </c>
      <c r="AB16" s="14"/>
    </row>
    <row r="17" spans="2:28">
      <c r="B17" s="13"/>
      <c r="C17" s="84" t="s">
        <v>80</v>
      </c>
      <c r="D17" s="84" t="s">
        <v>1</v>
      </c>
      <c r="E17" s="84" t="s">
        <v>84</v>
      </c>
      <c r="F17" s="84" t="s">
        <v>32</v>
      </c>
      <c r="G17" s="118">
        <v>150368.73199999999</v>
      </c>
      <c r="H17" s="118">
        <v>144623.53</v>
      </c>
      <c r="I17" s="118">
        <v>139896.08300000001</v>
      </c>
      <c r="J17" s="118">
        <v>137859.36900000001</v>
      </c>
      <c r="K17" s="118">
        <v>139829.24100000001</v>
      </c>
      <c r="L17" s="118">
        <v>139280.42300000001</v>
      </c>
      <c r="M17" s="118">
        <v>142836.17300000001</v>
      </c>
      <c r="N17" s="118">
        <v>139590.361</v>
      </c>
      <c r="O17" s="118">
        <v>140095.79399999999</v>
      </c>
      <c r="P17" s="118">
        <v>136529.19399999999</v>
      </c>
      <c r="Q17" s="118">
        <v>163922.16200000001</v>
      </c>
      <c r="R17" s="118">
        <v>170654.26199999999</v>
      </c>
      <c r="S17" s="118">
        <v>184468.83499999999</v>
      </c>
      <c r="T17" s="118">
        <v>213604.23199999999</v>
      </c>
      <c r="U17" s="118">
        <v>189156.08100000001</v>
      </c>
      <c r="V17" s="118">
        <v>189361.39199999999</v>
      </c>
      <c r="W17" s="118">
        <v>206501.59899999999</v>
      </c>
      <c r="X17" s="118">
        <v>211449.81899999999</v>
      </c>
      <c r="Y17" s="118">
        <v>218695.397</v>
      </c>
      <c r="Z17" s="118">
        <v>219624.38200000001</v>
      </c>
      <c r="AA17" s="118">
        <v>220234.79699999999</v>
      </c>
      <c r="AB17" s="14"/>
    </row>
    <row r="18" spans="2:28">
      <c r="B18" s="13"/>
      <c r="C18" s="84" t="s">
        <v>80</v>
      </c>
      <c r="D18" s="84" t="s">
        <v>1</v>
      </c>
      <c r="E18" s="84" t="s">
        <v>85</v>
      </c>
      <c r="F18" s="84" t="s">
        <v>33</v>
      </c>
      <c r="G18" s="118">
        <v>3155112.5920000002</v>
      </c>
      <c r="H18" s="118">
        <v>3217608.9029999999</v>
      </c>
      <c r="I18" s="118">
        <v>3242184.0780000002</v>
      </c>
      <c r="J18" s="118">
        <v>3342932.196</v>
      </c>
      <c r="K18" s="118">
        <v>3432871.2059999998</v>
      </c>
      <c r="L18" s="118">
        <v>3574957.3229999999</v>
      </c>
      <c r="M18" s="118">
        <v>3811375.2069999999</v>
      </c>
      <c r="N18" s="118">
        <v>4041946.875</v>
      </c>
      <c r="O18" s="118">
        <v>3903512.0660000001</v>
      </c>
      <c r="P18" s="118">
        <v>3303250.142</v>
      </c>
      <c r="Q18" s="118">
        <v>3068830.1490000002</v>
      </c>
      <c r="R18" s="118">
        <v>3303752.3840000001</v>
      </c>
      <c r="S18" s="118">
        <v>2934908.7069999999</v>
      </c>
      <c r="T18" s="118">
        <v>2773384.281</v>
      </c>
      <c r="U18" s="118">
        <v>2785731.111</v>
      </c>
      <c r="V18" s="118">
        <v>2848366.9849999999</v>
      </c>
      <c r="W18" s="118">
        <v>2842182.24</v>
      </c>
      <c r="X18" s="118">
        <v>2973242.2439999999</v>
      </c>
      <c r="Y18" s="118">
        <v>3074023.077</v>
      </c>
      <c r="Z18" s="118">
        <v>3150037.696</v>
      </c>
      <c r="AA18" s="118">
        <v>3079075.25</v>
      </c>
      <c r="AB18" s="14"/>
    </row>
    <row r="19" spans="2:28">
      <c r="B19" s="13"/>
      <c r="C19" s="84" t="s">
        <v>80</v>
      </c>
      <c r="D19" s="84" t="s">
        <v>1</v>
      </c>
      <c r="E19" s="84" t="s">
        <v>86</v>
      </c>
      <c r="F19" s="84" t="s">
        <v>34</v>
      </c>
      <c r="G19" s="118">
        <v>780986.26800000004</v>
      </c>
      <c r="H19" s="118">
        <v>789913.18900000001</v>
      </c>
      <c r="I19" s="118">
        <v>787154.83400000003</v>
      </c>
      <c r="J19" s="118">
        <v>788473.56099999999</v>
      </c>
      <c r="K19" s="118">
        <v>787460.995</v>
      </c>
      <c r="L19" s="118">
        <v>770015.38800000004</v>
      </c>
      <c r="M19" s="118">
        <v>759190.147</v>
      </c>
      <c r="N19" s="118">
        <v>741551.48800000001</v>
      </c>
      <c r="O19" s="118">
        <v>723440.85499999998</v>
      </c>
      <c r="P19" s="118">
        <v>685934.57499999995</v>
      </c>
      <c r="Q19" s="118">
        <v>684921.54500000004</v>
      </c>
      <c r="R19" s="118">
        <v>703268.37300000002</v>
      </c>
      <c r="S19" s="118">
        <v>699223.08400000003</v>
      </c>
      <c r="T19" s="118">
        <v>674386.45499999996</v>
      </c>
      <c r="U19" s="118">
        <v>639878.15899999999</v>
      </c>
      <c r="V19" s="118">
        <v>616515.66399999999</v>
      </c>
      <c r="W19" s="118">
        <v>573907.79200000002</v>
      </c>
      <c r="X19" s="118">
        <v>574742.88300000003</v>
      </c>
      <c r="Y19" s="118">
        <v>561655.08799999999</v>
      </c>
      <c r="Z19" s="118">
        <v>478239.80900000001</v>
      </c>
      <c r="AA19" s="118">
        <v>384298.57</v>
      </c>
      <c r="AB19" s="14"/>
    </row>
    <row r="20" spans="2:28">
      <c r="B20" s="13"/>
      <c r="C20" s="84" t="s">
        <v>80</v>
      </c>
      <c r="D20" s="84" t="s">
        <v>1</v>
      </c>
      <c r="E20" s="84" t="s">
        <v>87</v>
      </c>
      <c r="F20" s="84" t="s">
        <v>35</v>
      </c>
      <c r="G20" s="119" t="s">
        <v>36</v>
      </c>
      <c r="H20" s="119" t="s">
        <v>36</v>
      </c>
      <c r="I20" s="119" t="s">
        <v>36</v>
      </c>
      <c r="J20" s="119" t="s">
        <v>36</v>
      </c>
      <c r="K20" s="119" t="s">
        <v>36</v>
      </c>
      <c r="L20" s="119" t="s">
        <v>36</v>
      </c>
      <c r="M20" s="119" t="s">
        <v>36</v>
      </c>
      <c r="N20" s="119" t="s">
        <v>36</v>
      </c>
      <c r="O20" s="119" t="s">
        <v>36</v>
      </c>
      <c r="P20" s="119" t="s">
        <v>36</v>
      </c>
      <c r="Q20" s="119" t="s">
        <v>36</v>
      </c>
      <c r="R20" s="119" t="s">
        <v>36</v>
      </c>
      <c r="S20" s="119" t="s">
        <v>36</v>
      </c>
      <c r="T20" s="119" t="s">
        <v>36</v>
      </c>
      <c r="U20" s="119" t="s">
        <v>36</v>
      </c>
      <c r="V20" s="119" t="s">
        <v>36</v>
      </c>
      <c r="W20" s="119" t="s">
        <v>36</v>
      </c>
      <c r="X20" s="119" t="s">
        <v>36</v>
      </c>
      <c r="Y20" s="119" t="s">
        <v>36</v>
      </c>
      <c r="Z20" s="119" t="s">
        <v>36</v>
      </c>
      <c r="AA20" s="119" t="s">
        <v>36</v>
      </c>
      <c r="AB20" s="14"/>
    </row>
    <row r="21" spans="2:28">
      <c r="B21" s="13"/>
      <c r="C21" s="84" t="s">
        <v>80</v>
      </c>
      <c r="D21" s="84" t="s">
        <v>1</v>
      </c>
      <c r="E21" s="84" t="s">
        <v>88</v>
      </c>
      <c r="F21" s="84" t="s">
        <v>37</v>
      </c>
      <c r="G21" s="119" t="s">
        <v>36</v>
      </c>
      <c r="H21" s="119" t="s">
        <v>36</v>
      </c>
      <c r="I21" s="119" t="s">
        <v>36</v>
      </c>
      <c r="J21" s="119" t="s">
        <v>36</v>
      </c>
      <c r="K21" s="119" t="s">
        <v>36</v>
      </c>
      <c r="L21" s="119" t="s">
        <v>36</v>
      </c>
      <c r="M21" s="119" t="s">
        <v>36</v>
      </c>
      <c r="N21" s="119" t="s">
        <v>36</v>
      </c>
      <c r="O21" s="119" t="s">
        <v>36</v>
      </c>
      <c r="P21" s="119" t="s">
        <v>36</v>
      </c>
      <c r="Q21" s="119" t="s">
        <v>36</v>
      </c>
      <c r="R21" s="119" t="s">
        <v>36</v>
      </c>
      <c r="S21" s="119" t="s">
        <v>36</v>
      </c>
      <c r="T21" s="119" t="s">
        <v>36</v>
      </c>
      <c r="U21" s="119" t="s">
        <v>36</v>
      </c>
      <c r="V21" s="119" t="s">
        <v>36</v>
      </c>
      <c r="W21" s="119" t="s">
        <v>36</v>
      </c>
      <c r="X21" s="119" t="s">
        <v>36</v>
      </c>
      <c r="Y21" s="119" t="s">
        <v>36</v>
      </c>
      <c r="Z21" s="119" t="s">
        <v>36</v>
      </c>
      <c r="AA21" s="119" t="s">
        <v>36</v>
      </c>
      <c r="AB21" s="14"/>
    </row>
    <row r="22" spans="2:28">
      <c r="B22" s="13"/>
      <c r="C22" s="84" t="s">
        <v>286</v>
      </c>
      <c r="D22" s="84" t="s">
        <v>287</v>
      </c>
      <c r="E22" s="84" t="s">
        <v>82</v>
      </c>
      <c r="F22" s="84" t="s">
        <v>14</v>
      </c>
      <c r="G22" s="118">
        <v>1484124.557</v>
      </c>
      <c r="H22" s="118">
        <v>1462513</v>
      </c>
      <c r="I22" s="118">
        <v>1531347.9509999999</v>
      </c>
      <c r="J22" s="118">
        <v>1615654.6329999999</v>
      </c>
      <c r="K22" s="118">
        <v>1669336.2779999999</v>
      </c>
      <c r="L22" s="118">
        <v>1694677.041</v>
      </c>
      <c r="M22" s="118">
        <v>1738933.5819999999</v>
      </c>
      <c r="N22" s="118">
        <v>1769391.1429999999</v>
      </c>
      <c r="O22" s="118">
        <v>1750439.183</v>
      </c>
      <c r="P22" s="118">
        <v>1479750.017</v>
      </c>
      <c r="Q22" s="118">
        <v>1589116.1910000001</v>
      </c>
      <c r="R22" s="118">
        <v>1615363.1089999999</v>
      </c>
      <c r="S22" s="118">
        <v>1564667.726</v>
      </c>
      <c r="T22" s="118">
        <v>1550740.6159999999</v>
      </c>
      <c r="U22" s="118">
        <v>1569952.0390000001</v>
      </c>
      <c r="V22" s="118">
        <v>1636369.311</v>
      </c>
      <c r="W22" s="118">
        <v>1654547.7239999999</v>
      </c>
      <c r="X22" s="118">
        <v>1697163.9210000001</v>
      </c>
      <c r="Y22" s="118">
        <v>1732481.277</v>
      </c>
      <c r="Z22" s="118">
        <v>1698846.43</v>
      </c>
      <c r="AA22" s="118">
        <v>1525218.821</v>
      </c>
      <c r="AB22" s="14"/>
    </row>
    <row r="23" spans="2:28">
      <c r="B23" s="13"/>
      <c r="C23" s="84" t="s">
        <v>286</v>
      </c>
      <c r="D23" s="84" t="s">
        <v>287</v>
      </c>
      <c r="E23" s="84" t="s">
        <v>83</v>
      </c>
      <c r="F23" s="84" t="s">
        <v>31</v>
      </c>
      <c r="G23" s="118">
        <v>153475.16</v>
      </c>
      <c r="H23" s="118">
        <v>157756.47200000001</v>
      </c>
      <c r="I23" s="118">
        <v>166907.82800000001</v>
      </c>
      <c r="J23" s="118">
        <v>166472.522</v>
      </c>
      <c r="K23" s="118">
        <v>168786.68299999999</v>
      </c>
      <c r="L23" s="118">
        <v>170715.19699999999</v>
      </c>
      <c r="M23" s="118">
        <v>172267.43799999999</v>
      </c>
      <c r="N23" s="118">
        <v>185618.916</v>
      </c>
      <c r="O23" s="118">
        <v>181229.37700000001</v>
      </c>
      <c r="P23" s="118">
        <v>152465.285</v>
      </c>
      <c r="Q23" s="118">
        <v>160900.56299999999</v>
      </c>
      <c r="R23" s="118">
        <v>168496.09299999999</v>
      </c>
      <c r="S23" s="118">
        <v>166818.48499999999</v>
      </c>
      <c r="T23" s="118">
        <v>170848.58100000001</v>
      </c>
      <c r="U23" s="118">
        <v>184874.329</v>
      </c>
      <c r="V23" s="118">
        <v>184576.48</v>
      </c>
      <c r="W23" s="118">
        <v>190095.71400000001</v>
      </c>
      <c r="X23" s="118">
        <v>195473.54699999999</v>
      </c>
      <c r="Y23" s="118">
        <v>207666.92499999999</v>
      </c>
      <c r="Z23" s="118">
        <v>211620.76800000001</v>
      </c>
      <c r="AA23" s="118">
        <v>200966.59099999999</v>
      </c>
      <c r="AB23" s="14"/>
    </row>
    <row r="24" spans="2:28">
      <c r="B24" s="13"/>
      <c r="C24" s="84" t="s">
        <v>286</v>
      </c>
      <c r="D24" s="84" t="s">
        <v>287</v>
      </c>
      <c r="E24" s="84" t="s">
        <v>84</v>
      </c>
      <c r="F24" s="84" t="s">
        <v>32</v>
      </c>
      <c r="G24" s="118">
        <v>238689.997</v>
      </c>
      <c r="H24" s="118">
        <v>225889.715</v>
      </c>
      <c r="I24" s="118">
        <v>227544.50599999999</v>
      </c>
      <c r="J24" s="118">
        <v>244952.84099999999</v>
      </c>
      <c r="K24" s="118">
        <v>268834.31800000003</v>
      </c>
      <c r="L24" s="118">
        <v>278542.14399999997</v>
      </c>
      <c r="M24" s="118">
        <v>284984.05300000001</v>
      </c>
      <c r="N24" s="118">
        <v>291978.26</v>
      </c>
      <c r="O24" s="118">
        <v>281870.03999999998</v>
      </c>
      <c r="P24" s="118">
        <v>167965.63699999999</v>
      </c>
      <c r="Q24" s="118">
        <v>228036.24100000001</v>
      </c>
      <c r="R24" s="118">
        <v>239713.17499999999</v>
      </c>
      <c r="S24" s="118">
        <v>214252.554</v>
      </c>
      <c r="T24" s="118">
        <v>226256.13200000001</v>
      </c>
      <c r="U24" s="118">
        <v>233734.92</v>
      </c>
      <c r="V24" s="118">
        <v>245623.83</v>
      </c>
      <c r="W24" s="118">
        <v>240139.45699999999</v>
      </c>
      <c r="X24" s="118">
        <v>245761.86300000001</v>
      </c>
      <c r="Y24" s="118">
        <v>259304.152</v>
      </c>
      <c r="Z24" s="118">
        <v>243802.43</v>
      </c>
      <c r="AA24" s="118">
        <v>212452.48800000001</v>
      </c>
      <c r="AB24" s="14"/>
    </row>
    <row r="25" spans="2:28">
      <c r="B25" s="13"/>
      <c r="C25" s="84" t="s">
        <v>286</v>
      </c>
      <c r="D25" s="84" t="s">
        <v>287</v>
      </c>
      <c r="E25" s="84" t="s">
        <v>85</v>
      </c>
      <c r="F25" s="84" t="s">
        <v>33</v>
      </c>
      <c r="G25" s="118">
        <v>87072.404999999999</v>
      </c>
      <c r="H25" s="118">
        <v>89692.691999999995</v>
      </c>
      <c r="I25" s="118">
        <v>93185.09</v>
      </c>
      <c r="J25" s="118">
        <v>99641.680999999997</v>
      </c>
      <c r="K25" s="118">
        <v>104625.273</v>
      </c>
      <c r="L25" s="118">
        <v>107342.105</v>
      </c>
      <c r="M25" s="118">
        <v>109911.495</v>
      </c>
      <c r="N25" s="118">
        <v>121036.224</v>
      </c>
      <c r="O25" s="118">
        <v>107992.117</v>
      </c>
      <c r="P25" s="118">
        <v>81954.986000000004</v>
      </c>
      <c r="Q25" s="118">
        <v>95234.462</v>
      </c>
      <c r="R25" s="118">
        <v>100131.91499999999</v>
      </c>
      <c r="S25" s="118">
        <v>84354.654999999999</v>
      </c>
      <c r="T25" s="118">
        <v>81594.42</v>
      </c>
      <c r="U25" s="118">
        <v>84325.017999999996</v>
      </c>
      <c r="V25" s="118">
        <v>82590.888999999996</v>
      </c>
      <c r="W25" s="118">
        <v>86854.888000000006</v>
      </c>
      <c r="X25" s="118">
        <v>96726.976999999999</v>
      </c>
      <c r="Y25" s="118">
        <v>101347.1</v>
      </c>
      <c r="Z25" s="118">
        <v>105810.895</v>
      </c>
      <c r="AA25" s="118">
        <v>102540.586</v>
      </c>
      <c r="AB25" s="14"/>
    </row>
    <row r="26" spans="2:28">
      <c r="B26" s="13"/>
      <c r="C26" s="84" t="s">
        <v>286</v>
      </c>
      <c r="D26" s="84" t="s">
        <v>287</v>
      </c>
      <c r="E26" s="84" t="s">
        <v>86</v>
      </c>
      <c r="F26" s="84" t="s">
        <v>34</v>
      </c>
      <c r="G26" s="118">
        <v>971914.89899999998</v>
      </c>
      <c r="H26" s="118">
        <v>957938.84100000001</v>
      </c>
      <c r="I26" s="118">
        <v>1007257.159</v>
      </c>
      <c r="J26" s="118">
        <v>1063340.9169999999</v>
      </c>
      <c r="K26" s="118">
        <v>1078591.8640000001</v>
      </c>
      <c r="L26" s="118">
        <v>1095780.223</v>
      </c>
      <c r="M26" s="118">
        <v>1128534.1459999999</v>
      </c>
      <c r="N26" s="118">
        <v>1122462.253</v>
      </c>
      <c r="O26" s="118">
        <v>1129043.696</v>
      </c>
      <c r="P26" s="118">
        <v>1033426.106</v>
      </c>
      <c r="Q26" s="118">
        <v>1055928.338</v>
      </c>
      <c r="R26" s="118">
        <v>1056690.1969999999</v>
      </c>
      <c r="S26" s="118">
        <v>1051837.6569999999</v>
      </c>
      <c r="T26" s="118">
        <v>1019606.78</v>
      </c>
      <c r="U26" s="118">
        <v>1013096.1409999999</v>
      </c>
      <c r="V26" s="118">
        <v>1069945.2350000001</v>
      </c>
      <c r="W26" s="118">
        <v>1079743.6880000001</v>
      </c>
      <c r="X26" s="118">
        <v>1095843.3400000001</v>
      </c>
      <c r="Y26" s="118">
        <v>1096691.8400000001</v>
      </c>
      <c r="Z26" s="118">
        <v>1063332.9339999999</v>
      </c>
      <c r="AA26" s="118">
        <v>939452.272</v>
      </c>
      <c r="AB26" s="14"/>
    </row>
    <row r="27" spans="2:28">
      <c r="B27" s="13"/>
      <c r="C27" s="84" t="s">
        <v>286</v>
      </c>
      <c r="D27" s="84" t="s">
        <v>287</v>
      </c>
      <c r="E27" s="84" t="s">
        <v>87</v>
      </c>
      <c r="F27" s="84" t="s">
        <v>35</v>
      </c>
      <c r="G27" s="118">
        <v>32972</v>
      </c>
      <c r="H27" s="118">
        <v>31235</v>
      </c>
      <c r="I27" s="118">
        <v>36382</v>
      </c>
      <c r="J27" s="118">
        <v>41114</v>
      </c>
      <c r="K27" s="118">
        <v>48360.821000000004</v>
      </c>
      <c r="L27" s="118">
        <v>42141.964</v>
      </c>
      <c r="M27" s="118">
        <v>43075.089</v>
      </c>
      <c r="N27" s="118">
        <v>48179.372000000003</v>
      </c>
      <c r="O27" s="118">
        <v>50141.942000000003</v>
      </c>
      <c r="P27" s="118">
        <v>43333.955000000002</v>
      </c>
      <c r="Q27" s="118">
        <v>48233.315999999999</v>
      </c>
      <c r="R27" s="118">
        <v>49542.993999999999</v>
      </c>
      <c r="S27" s="118">
        <v>46592.891000000003</v>
      </c>
      <c r="T27" s="118">
        <v>51554.322</v>
      </c>
      <c r="U27" s="118">
        <v>52775.417999999998</v>
      </c>
      <c r="V27" s="118">
        <v>52464.440999999999</v>
      </c>
      <c r="W27" s="118">
        <v>55202.616000000002</v>
      </c>
      <c r="X27" s="118">
        <v>59433.997000000003</v>
      </c>
      <c r="Y27" s="118">
        <v>66084.75</v>
      </c>
      <c r="Z27" s="118">
        <v>72954.123000000007</v>
      </c>
      <c r="AA27" s="118">
        <v>68189.130999999994</v>
      </c>
      <c r="AB27" s="14"/>
    </row>
    <row r="28" spans="2:28">
      <c r="B28" s="13"/>
      <c r="C28" s="84" t="s">
        <v>286</v>
      </c>
      <c r="D28" s="84" t="s">
        <v>287</v>
      </c>
      <c r="E28" s="84" t="s">
        <v>88</v>
      </c>
      <c r="F28" s="84" t="s">
        <v>37</v>
      </c>
      <c r="G28" s="118">
        <v>9.7000000000000003E-2</v>
      </c>
      <c r="H28" s="118">
        <v>0.28000000000000003</v>
      </c>
      <c r="I28" s="118">
        <v>71.367999999999995</v>
      </c>
      <c r="J28" s="118">
        <v>132.672</v>
      </c>
      <c r="K28" s="118">
        <v>137.31899999999999</v>
      </c>
      <c r="L28" s="118">
        <v>155.40700000000001</v>
      </c>
      <c r="M28" s="118">
        <v>161.36099999999999</v>
      </c>
      <c r="N28" s="118">
        <v>116.11799999999999</v>
      </c>
      <c r="O28" s="118">
        <v>162.011</v>
      </c>
      <c r="P28" s="118">
        <v>604.048</v>
      </c>
      <c r="Q28" s="118">
        <v>783.27099999999996</v>
      </c>
      <c r="R28" s="118">
        <v>788.73400000000004</v>
      </c>
      <c r="S28" s="118">
        <v>811.48400000000004</v>
      </c>
      <c r="T28" s="118">
        <v>880.38</v>
      </c>
      <c r="U28" s="118">
        <v>1146.213</v>
      </c>
      <c r="V28" s="118">
        <v>1168.4359999999999</v>
      </c>
      <c r="W28" s="118">
        <v>2511.36</v>
      </c>
      <c r="X28" s="118">
        <v>3924.1959999999999</v>
      </c>
      <c r="Y28" s="118">
        <v>1386.51</v>
      </c>
      <c r="Z28" s="118">
        <v>1325.28</v>
      </c>
      <c r="AA28" s="118">
        <v>1617.7539999999999</v>
      </c>
      <c r="AB28" s="14"/>
    </row>
    <row r="29" spans="2:28">
      <c r="B29" s="13"/>
      <c r="C29" s="84" t="s">
        <v>288</v>
      </c>
      <c r="D29" s="84" t="s">
        <v>4</v>
      </c>
      <c r="E29" s="84" t="s">
        <v>82</v>
      </c>
      <c r="F29" s="84" t="s">
        <v>14</v>
      </c>
      <c r="G29" s="118">
        <v>442422.39299999998</v>
      </c>
      <c r="H29" s="118">
        <v>441252.55300000001</v>
      </c>
      <c r="I29" s="118">
        <v>467876.36800000002</v>
      </c>
      <c r="J29" s="118">
        <v>479623.02399999998</v>
      </c>
      <c r="K29" s="118">
        <v>505228.86599999998</v>
      </c>
      <c r="L29" s="118">
        <v>532029.179</v>
      </c>
      <c r="M29" s="118">
        <v>555701.73</v>
      </c>
      <c r="N29" s="118">
        <v>569602.15399999998</v>
      </c>
      <c r="O29" s="118">
        <v>581778.821</v>
      </c>
      <c r="P29" s="118">
        <v>546869.29200000002</v>
      </c>
      <c r="Q29" s="118">
        <v>604251.40599999996</v>
      </c>
      <c r="R29" s="118">
        <v>624715.42200000002</v>
      </c>
      <c r="S29" s="118">
        <v>669893.34699999995</v>
      </c>
      <c r="T29" s="118">
        <v>700460.31400000001</v>
      </c>
      <c r="U29" s="118">
        <v>710366.94499999995</v>
      </c>
      <c r="V29" s="118">
        <v>716760.04299999995</v>
      </c>
      <c r="W29" s="118">
        <v>738911.08799999999</v>
      </c>
      <c r="X29" s="118">
        <v>764934.20200000005</v>
      </c>
      <c r="Y29" s="118">
        <v>745693.946</v>
      </c>
      <c r="Z29" s="118">
        <v>745534.40700000001</v>
      </c>
      <c r="AA29" s="118">
        <v>718274.28700000001</v>
      </c>
      <c r="AB29" s="14"/>
    </row>
    <row r="30" spans="2:28">
      <c r="B30" s="13"/>
      <c r="C30" s="84" t="s">
        <v>288</v>
      </c>
      <c r="D30" s="84" t="s">
        <v>4</v>
      </c>
      <c r="E30" s="84" t="s">
        <v>83</v>
      </c>
      <c r="F30" s="84" t="s">
        <v>31</v>
      </c>
      <c r="G30" s="118">
        <v>124670.239</v>
      </c>
      <c r="H30" s="118">
        <v>120272.523</v>
      </c>
      <c r="I30" s="118">
        <v>125846.35799999999</v>
      </c>
      <c r="J30" s="118">
        <v>129918.512</v>
      </c>
      <c r="K30" s="118">
        <v>127866.86</v>
      </c>
      <c r="L30" s="118">
        <v>142229.89499999999</v>
      </c>
      <c r="M30" s="118">
        <v>148443.103</v>
      </c>
      <c r="N30" s="118">
        <v>137871.264</v>
      </c>
      <c r="O30" s="118">
        <v>147961.28200000001</v>
      </c>
      <c r="P30" s="118">
        <v>144618.54699999999</v>
      </c>
      <c r="Q30" s="118">
        <v>160273.609</v>
      </c>
      <c r="R30" s="118">
        <v>161582.595</v>
      </c>
      <c r="S30" s="118">
        <v>166124.389</v>
      </c>
      <c r="T30" s="118">
        <v>184717.95699999999</v>
      </c>
      <c r="U30" s="118">
        <v>192178.38099999999</v>
      </c>
      <c r="V30" s="118">
        <v>201992.08100000001</v>
      </c>
      <c r="W30" s="118">
        <v>203232.75200000001</v>
      </c>
      <c r="X30" s="118">
        <v>199837.93700000001</v>
      </c>
      <c r="Y30" s="118">
        <v>195697.715</v>
      </c>
      <c r="Z30" s="118">
        <v>215188.24299999999</v>
      </c>
      <c r="AA30" s="118">
        <v>228873.86799999999</v>
      </c>
      <c r="AB30" s="14"/>
    </row>
    <row r="31" spans="2:28">
      <c r="B31" s="13"/>
      <c r="C31" s="84" t="s">
        <v>288</v>
      </c>
      <c r="D31" s="84" t="s">
        <v>4</v>
      </c>
      <c r="E31" s="84" t="s">
        <v>84</v>
      </c>
      <c r="F31" s="84" t="s">
        <v>32</v>
      </c>
      <c r="G31" s="118">
        <v>84913.947</v>
      </c>
      <c r="H31" s="118">
        <v>83596.850999999995</v>
      </c>
      <c r="I31" s="118">
        <v>93760.066999999995</v>
      </c>
      <c r="J31" s="118">
        <v>96901.952999999994</v>
      </c>
      <c r="K31" s="118">
        <v>105990.823</v>
      </c>
      <c r="L31" s="118">
        <v>108157.291</v>
      </c>
      <c r="M31" s="118">
        <v>111460.22500000001</v>
      </c>
      <c r="N31" s="118">
        <v>115313.52899999999</v>
      </c>
      <c r="O31" s="118">
        <v>118640.368</v>
      </c>
      <c r="P31" s="118">
        <v>104879.07799999999</v>
      </c>
      <c r="Q31" s="118">
        <v>119889.249</v>
      </c>
      <c r="R31" s="118">
        <v>133381.09</v>
      </c>
      <c r="S31" s="118">
        <v>139136.12</v>
      </c>
      <c r="T31" s="118">
        <v>134641.56599999999</v>
      </c>
      <c r="U31" s="118">
        <v>134018.65400000001</v>
      </c>
      <c r="V31" s="118">
        <v>122059.71400000001</v>
      </c>
      <c r="W31" s="118">
        <v>123863.045</v>
      </c>
      <c r="X31" s="118">
        <v>130546.36900000001</v>
      </c>
      <c r="Y31" s="118">
        <v>127707.565</v>
      </c>
      <c r="Z31" s="118">
        <v>130033.43700000001</v>
      </c>
      <c r="AA31" s="118">
        <v>120846.223</v>
      </c>
      <c r="AB31" s="14"/>
    </row>
    <row r="32" spans="2:28">
      <c r="B32" s="13"/>
      <c r="C32" s="84" t="s">
        <v>288</v>
      </c>
      <c r="D32" s="84" t="s">
        <v>4</v>
      </c>
      <c r="E32" s="84" t="s">
        <v>85</v>
      </c>
      <c r="F32" s="84" t="s">
        <v>33</v>
      </c>
      <c r="G32" s="118">
        <v>66457.570000000007</v>
      </c>
      <c r="H32" s="118">
        <v>66973.604999999996</v>
      </c>
      <c r="I32" s="118">
        <v>69352.206999999995</v>
      </c>
      <c r="J32" s="118">
        <v>70994.687999999995</v>
      </c>
      <c r="K32" s="118">
        <v>72895.69</v>
      </c>
      <c r="L32" s="118">
        <v>77791.179999999993</v>
      </c>
      <c r="M32" s="118">
        <v>74529.812999999995</v>
      </c>
      <c r="N32" s="118">
        <v>75067.542000000001</v>
      </c>
      <c r="O32" s="118">
        <v>74750.589000000007</v>
      </c>
      <c r="P32" s="118">
        <v>67325.259000000005</v>
      </c>
      <c r="Q32" s="118">
        <v>79047.165999999997</v>
      </c>
      <c r="R32" s="118">
        <v>80694.357999999993</v>
      </c>
      <c r="S32" s="118">
        <v>89451.350999999995</v>
      </c>
      <c r="T32" s="118">
        <v>96538.394</v>
      </c>
      <c r="U32" s="118">
        <v>102171.728</v>
      </c>
      <c r="V32" s="118">
        <v>102923.53599999999</v>
      </c>
      <c r="W32" s="118">
        <v>103283.06299999999</v>
      </c>
      <c r="X32" s="118">
        <v>103905.95</v>
      </c>
      <c r="Y32" s="118">
        <v>101736.999</v>
      </c>
      <c r="Z32" s="118">
        <v>94779.74</v>
      </c>
      <c r="AA32" s="118">
        <v>89447.091</v>
      </c>
      <c r="AB32" s="14"/>
    </row>
    <row r="33" spans="2:28">
      <c r="B33" s="13"/>
      <c r="C33" s="84" t="s">
        <v>288</v>
      </c>
      <c r="D33" s="84" t="s">
        <v>4</v>
      </c>
      <c r="E33" s="84" t="s">
        <v>86</v>
      </c>
      <c r="F33" s="84" t="s">
        <v>34</v>
      </c>
      <c r="G33" s="118">
        <v>127971.976</v>
      </c>
      <c r="H33" s="118">
        <v>129338.963</v>
      </c>
      <c r="I33" s="118">
        <v>136178.399</v>
      </c>
      <c r="J33" s="118">
        <v>142864.035</v>
      </c>
      <c r="K33" s="118">
        <v>155997.38</v>
      </c>
      <c r="L33" s="118">
        <v>162457.663</v>
      </c>
      <c r="M33" s="118">
        <v>177997.22399999999</v>
      </c>
      <c r="N33" s="118">
        <v>196351.27</v>
      </c>
      <c r="O33" s="118">
        <v>194067.58900000001</v>
      </c>
      <c r="P33" s="118">
        <v>188400.79399999999</v>
      </c>
      <c r="Q33" s="118">
        <v>197166.16</v>
      </c>
      <c r="R33" s="118">
        <v>199553.095</v>
      </c>
      <c r="S33" s="118">
        <v>224687.57800000001</v>
      </c>
      <c r="T33" s="118">
        <v>231609.59899999999</v>
      </c>
      <c r="U33" s="118">
        <v>227050.19899999999</v>
      </c>
      <c r="V33" s="118">
        <v>235597.269</v>
      </c>
      <c r="W33" s="118">
        <v>253651.64</v>
      </c>
      <c r="X33" s="118">
        <v>271281.47499999998</v>
      </c>
      <c r="Y33" s="118">
        <v>261705.37299999999</v>
      </c>
      <c r="Z33" s="118">
        <v>246182.24799999999</v>
      </c>
      <c r="AA33" s="118">
        <v>222155.522</v>
      </c>
      <c r="AB33" s="14"/>
    </row>
    <row r="34" spans="2:28">
      <c r="B34" s="13"/>
      <c r="C34" s="84" t="s">
        <v>288</v>
      </c>
      <c r="D34" s="84" t="s">
        <v>4</v>
      </c>
      <c r="E34" s="84" t="s">
        <v>87</v>
      </c>
      <c r="F34" s="84" t="s">
        <v>35</v>
      </c>
      <c r="G34" s="118">
        <v>38408.123</v>
      </c>
      <c r="H34" s="118">
        <v>41070.156000000003</v>
      </c>
      <c r="I34" s="118">
        <v>42714.760999999999</v>
      </c>
      <c r="J34" s="118">
        <v>38875.137999999999</v>
      </c>
      <c r="K34" s="118">
        <v>42401.421000000002</v>
      </c>
      <c r="L34" s="118">
        <v>41338.857000000004</v>
      </c>
      <c r="M34" s="118">
        <v>43054.618999999999</v>
      </c>
      <c r="N34" s="118">
        <v>44817.555999999997</v>
      </c>
      <c r="O34" s="118">
        <v>46188.387000000002</v>
      </c>
      <c r="P34" s="118">
        <v>41466.722000000002</v>
      </c>
      <c r="Q34" s="118">
        <v>47438.951000000001</v>
      </c>
      <c r="R34" s="118">
        <v>48916.874000000003</v>
      </c>
      <c r="S34" s="118">
        <v>49860.546000000002</v>
      </c>
      <c r="T34" s="118">
        <v>52349.961000000003</v>
      </c>
      <c r="U34" s="118">
        <v>54361.04</v>
      </c>
      <c r="V34" s="118">
        <v>53582.451000000001</v>
      </c>
      <c r="W34" s="118">
        <v>54412.093000000001</v>
      </c>
      <c r="X34" s="118">
        <v>58878.525000000001</v>
      </c>
      <c r="Y34" s="118">
        <v>58366.803999999996</v>
      </c>
      <c r="Z34" s="118">
        <v>58777.214</v>
      </c>
      <c r="AA34" s="118">
        <v>56395.421000000002</v>
      </c>
      <c r="AB34" s="14"/>
    </row>
    <row r="35" spans="2:28">
      <c r="B35" s="13"/>
      <c r="C35" s="84" t="s">
        <v>288</v>
      </c>
      <c r="D35" s="84" t="s">
        <v>4</v>
      </c>
      <c r="E35" s="84" t="s">
        <v>88</v>
      </c>
      <c r="F35" s="84" t="s">
        <v>37</v>
      </c>
      <c r="G35" s="118">
        <v>0.53800000000000003</v>
      </c>
      <c r="H35" s="118">
        <v>0.45600000000000002</v>
      </c>
      <c r="I35" s="118">
        <v>24.574999999999999</v>
      </c>
      <c r="J35" s="118">
        <v>68.698999999999998</v>
      </c>
      <c r="K35" s="118">
        <v>76.691999999999993</v>
      </c>
      <c r="L35" s="118">
        <v>54.292000000000002</v>
      </c>
      <c r="M35" s="118">
        <v>216.74600000000001</v>
      </c>
      <c r="N35" s="118">
        <v>180.99199999999999</v>
      </c>
      <c r="O35" s="118">
        <v>170.60499999999999</v>
      </c>
      <c r="P35" s="118">
        <v>178.892</v>
      </c>
      <c r="Q35" s="118">
        <v>436.27100000000002</v>
      </c>
      <c r="R35" s="118">
        <v>587.41099999999994</v>
      </c>
      <c r="S35" s="118">
        <v>633.36300000000006</v>
      </c>
      <c r="T35" s="118">
        <v>602.83699999999999</v>
      </c>
      <c r="U35" s="118">
        <v>586.94299999999998</v>
      </c>
      <c r="V35" s="118">
        <v>604.99099999999999</v>
      </c>
      <c r="W35" s="118">
        <v>468.495</v>
      </c>
      <c r="X35" s="118">
        <v>483.947</v>
      </c>
      <c r="Y35" s="118">
        <v>479.48899999999998</v>
      </c>
      <c r="Z35" s="118">
        <v>573.52499999999998</v>
      </c>
      <c r="AA35" s="118">
        <v>556.16200000000003</v>
      </c>
      <c r="AB35" s="14"/>
    </row>
    <row r="36" spans="2:28">
      <c r="B36" s="13"/>
      <c r="C36" s="120" t="s">
        <v>72</v>
      </c>
      <c r="D36" s="120" t="s">
        <v>109</v>
      </c>
      <c r="E36" s="120" t="s">
        <v>82</v>
      </c>
      <c r="F36" s="120" t="s">
        <v>14</v>
      </c>
      <c r="G36" s="118">
        <v>6595481.5640000002</v>
      </c>
      <c r="H36" s="118">
        <v>6620375.1359999999</v>
      </c>
      <c r="I36" s="118">
        <v>6680664.2970000003</v>
      </c>
      <c r="J36" s="118">
        <v>6746353.0209999997</v>
      </c>
      <c r="K36" s="118">
        <v>7058697.1390000004</v>
      </c>
      <c r="L36" s="118">
        <v>7117134.2929999996</v>
      </c>
      <c r="M36" s="118">
        <v>7291236.1540000001</v>
      </c>
      <c r="N36" s="118">
        <v>7565973.875</v>
      </c>
      <c r="O36" s="118">
        <v>7421672.1639999999</v>
      </c>
      <c r="P36" s="118">
        <v>6515743.4630000005</v>
      </c>
      <c r="Q36" s="118">
        <v>6323733.8370000003</v>
      </c>
      <c r="R36" s="118">
        <v>6657404.7580000004</v>
      </c>
      <c r="S36" s="118">
        <v>6143666.4709999999</v>
      </c>
      <c r="T36" s="118">
        <v>5986876.415</v>
      </c>
      <c r="U36" s="118">
        <v>6050505.2620000001</v>
      </c>
      <c r="V36" s="118">
        <v>6042912.1830000002</v>
      </c>
      <c r="W36" s="118">
        <v>6033493.7529999996</v>
      </c>
      <c r="X36" s="118">
        <v>6230132.9369999999</v>
      </c>
      <c r="Y36" s="118">
        <v>6321814.9119999995</v>
      </c>
      <c r="Z36" s="118">
        <v>6278956.7460000003</v>
      </c>
      <c r="AA36" s="118">
        <v>5975951.6880000001</v>
      </c>
      <c r="AB36" s="14"/>
    </row>
    <row r="37" spans="2:28">
      <c r="B37" s="13"/>
      <c r="C37" s="120" t="s">
        <v>72</v>
      </c>
      <c r="D37" s="120" t="s">
        <v>109</v>
      </c>
      <c r="E37" s="120" t="s">
        <v>83</v>
      </c>
      <c r="F37" s="120" t="s">
        <v>31</v>
      </c>
      <c r="G37" s="118">
        <v>1496116.73</v>
      </c>
      <c r="H37" s="118">
        <v>1484453.017</v>
      </c>
      <c r="I37" s="118">
        <v>1489019.1910000001</v>
      </c>
      <c r="J37" s="118">
        <v>1377610.297</v>
      </c>
      <c r="K37" s="118">
        <v>1575348.108</v>
      </c>
      <c r="L37" s="118">
        <v>1498718.5989999999</v>
      </c>
      <c r="M37" s="118">
        <v>1418427.11</v>
      </c>
      <c r="N37" s="118">
        <v>1490843.8130000001</v>
      </c>
      <c r="O37" s="118">
        <v>1519231.182</v>
      </c>
      <c r="P37" s="118">
        <v>1464995.5660000001</v>
      </c>
      <c r="Q37" s="118">
        <v>1421822.149</v>
      </c>
      <c r="R37" s="118">
        <v>1495995.55</v>
      </c>
      <c r="S37" s="118">
        <v>1430985.5630000001</v>
      </c>
      <c r="T37" s="118">
        <v>1461351.7679999999</v>
      </c>
      <c r="U37" s="118">
        <v>1568850.7649999999</v>
      </c>
      <c r="V37" s="118">
        <v>1451643.273</v>
      </c>
      <c r="W37" s="118">
        <v>1482128.4480000001</v>
      </c>
      <c r="X37" s="118">
        <v>1534103.8829999999</v>
      </c>
      <c r="Y37" s="118">
        <v>1492623.2290000001</v>
      </c>
      <c r="Z37" s="118">
        <v>1474175.362</v>
      </c>
      <c r="AA37" s="118">
        <v>1457491.26</v>
      </c>
      <c r="AB37" s="14"/>
    </row>
    <row r="38" spans="2:28">
      <c r="B38" s="13"/>
      <c r="C38" s="120" t="s">
        <v>72</v>
      </c>
      <c r="D38" s="120" t="s">
        <v>109</v>
      </c>
      <c r="E38" s="120" t="s">
        <v>84</v>
      </c>
      <c r="F38" s="120" t="s">
        <v>32</v>
      </c>
      <c r="G38" s="118">
        <v>304144.78200000001</v>
      </c>
      <c r="H38" s="118">
        <v>286916.39399999997</v>
      </c>
      <c r="I38" s="118">
        <v>273680.522</v>
      </c>
      <c r="J38" s="118">
        <v>285910.25699999998</v>
      </c>
      <c r="K38" s="118">
        <v>302672.73599999998</v>
      </c>
      <c r="L38" s="118">
        <v>309665.27600000001</v>
      </c>
      <c r="M38" s="118">
        <v>316360.00099999999</v>
      </c>
      <c r="N38" s="118">
        <v>316255.092</v>
      </c>
      <c r="O38" s="118">
        <v>303325.46600000001</v>
      </c>
      <c r="P38" s="118">
        <v>199615.753</v>
      </c>
      <c r="Q38" s="118">
        <v>272069.15500000003</v>
      </c>
      <c r="R38" s="118">
        <v>276986.34700000001</v>
      </c>
      <c r="S38" s="118">
        <v>259585.26800000001</v>
      </c>
      <c r="T38" s="118">
        <v>305218.799</v>
      </c>
      <c r="U38" s="118">
        <v>288872.348</v>
      </c>
      <c r="V38" s="118">
        <v>312925.50799999997</v>
      </c>
      <c r="W38" s="118">
        <v>322778.011</v>
      </c>
      <c r="X38" s="118">
        <v>326665.31300000002</v>
      </c>
      <c r="Y38" s="118">
        <v>350291.984</v>
      </c>
      <c r="Z38" s="118">
        <v>333393.375</v>
      </c>
      <c r="AA38" s="118">
        <v>311841.06199999998</v>
      </c>
      <c r="AB38" s="14"/>
    </row>
    <row r="39" spans="2:28">
      <c r="B39" s="13"/>
      <c r="C39" s="120" t="s">
        <v>72</v>
      </c>
      <c r="D39" s="120" t="s">
        <v>109</v>
      </c>
      <c r="E39" s="120" t="s">
        <v>85</v>
      </c>
      <c r="F39" s="120" t="s">
        <v>33</v>
      </c>
      <c r="G39" s="118">
        <v>3175727.4270000001</v>
      </c>
      <c r="H39" s="118">
        <v>3240327.99</v>
      </c>
      <c r="I39" s="118">
        <v>3266016.96</v>
      </c>
      <c r="J39" s="118">
        <v>3371579.19</v>
      </c>
      <c r="K39" s="118">
        <v>3464600.79</v>
      </c>
      <c r="L39" s="118">
        <v>3604508.2480000001</v>
      </c>
      <c r="M39" s="118">
        <v>3846756.889</v>
      </c>
      <c r="N39" s="118">
        <v>4087915.557</v>
      </c>
      <c r="O39" s="118">
        <v>3936753.594</v>
      </c>
      <c r="P39" s="118">
        <v>3317879.8689999999</v>
      </c>
      <c r="Q39" s="118">
        <v>3085017.4449999998</v>
      </c>
      <c r="R39" s="118">
        <v>3323189.9419999998</v>
      </c>
      <c r="S39" s="118">
        <v>2929812.0109999999</v>
      </c>
      <c r="T39" s="118">
        <v>2758440.307</v>
      </c>
      <c r="U39" s="118">
        <v>2767884.4</v>
      </c>
      <c r="V39" s="118">
        <v>2828034.338</v>
      </c>
      <c r="W39" s="118">
        <v>2825754.0649999999</v>
      </c>
      <c r="X39" s="118">
        <v>2966063.2710000002</v>
      </c>
      <c r="Y39" s="118">
        <v>3073633.1779999998</v>
      </c>
      <c r="Z39" s="118">
        <v>3161068.8509999998</v>
      </c>
      <c r="AA39" s="118">
        <v>3092168.7450000001</v>
      </c>
      <c r="AB39" s="14"/>
    </row>
    <row r="40" spans="2:28">
      <c r="B40" s="13"/>
      <c r="C40" s="120" t="s">
        <v>72</v>
      </c>
      <c r="D40" s="120" t="s">
        <v>109</v>
      </c>
      <c r="E40" s="120" t="s">
        <v>86</v>
      </c>
      <c r="F40" s="120" t="s">
        <v>34</v>
      </c>
      <c r="G40" s="118">
        <v>1624929.1910000001</v>
      </c>
      <c r="H40" s="118">
        <v>1618513.067</v>
      </c>
      <c r="I40" s="118">
        <v>1658233.5930000001</v>
      </c>
      <c r="J40" s="118">
        <v>1708950.442</v>
      </c>
      <c r="K40" s="118">
        <v>1710055.4779999999</v>
      </c>
      <c r="L40" s="118">
        <v>1703337.949</v>
      </c>
      <c r="M40" s="118">
        <v>1709727.07</v>
      </c>
      <c r="N40" s="118">
        <v>1667662.4709999999</v>
      </c>
      <c r="O40" s="118">
        <v>1658416.9620000001</v>
      </c>
      <c r="P40" s="118">
        <v>1530959.8870000001</v>
      </c>
      <c r="Q40" s="118">
        <v>1543683.723</v>
      </c>
      <c r="R40" s="118">
        <v>1560405.476</v>
      </c>
      <c r="S40" s="118">
        <v>1526373.1629999999</v>
      </c>
      <c r="T40" s="118">
        <v>1462383.6359999999</v>
      </c>
      <c r="U40" s="118">
        <v>1425924.1</v>
      </c>
      <c r="V40" s="118">
        <v>1450863.63</v>
      </c>
      <c r="W40" s="118">
        <v>1399999.84</v>
      </c>
      <c r="X40" s="118">
        <v>1399304.7479999999</v>
      </c>
      <c r="Y40" s="118">
        <v>1396641.5549999999</v>
      </c>
      <c r="Z40" s="118">
        <v>1295390.4939999999</v>
      </c>
      <c r="AA40" s="118">
        <v>1101595.3189999999</v>
      </c>
      <c r="AB40" s="14"/>
    </row>
    <row r="41" spans="2:28">
      <c r="B41" s="13"/>
      <c r="C41" s="120" t="s">
        <v>72</v>
      </c>
      <c r="D41" s="120" t="s">
        <v>109</v>
      </c>
      <c r="E41" s="120" t="s">
        <v>87</v>
      </c>
      <c r="F41" s="120" t="s">
        <v>35</v>
      </c>
      <c r="G41" s="118">
        <v>-5436.1229999999996</v>
      </c>
      <c r="H41" s="118">
        <v>-9835.1560000000009</v>
      </c>
      <c r="I41" s="118">
        <v>-6332.7610000000004</v>
      </c>
      <c r="J41" s="118">
        <v>2238.8620000000001</v>
      </c>
      <c r="K41" s="118">
        <v>5959.4</v>
      </c>
      <c r="L41" s="118">
        <v>803.10699999999997</v>
      </c>
      <c r="M41" s="118">
        <v>20.47</v>
      </c>
      <c r="N41" s="118">
        <v>3361.8159999999998</v>
      </c>
      <c r="O41" s="118">
        <v>3953.5549999999998</v>
      </c>
      <c r="P41" s="118">
        <v>1867.232</v>
      </c>
      <c r="Q41" s="118">
        <v>794.36500000000001</v>
      </c>
      <c r="R41" s="118">
        <v>626.12</v>
      </c>
      <c r="S41" s="118">
        <v>-3267.6550000000002</v>
      </c>
      <c r="T41" s="118">
        <v>-795.63900000000001</v>
      </c>
      <c r="U41" s="118">
        <v>-1585.6220000000001</v>
      </c>
      <c r="V41" s="118">
        <v>-1118.01</v>
      </c>
      <c r="W41" s="118">
        <v>790.524</v>
      </c>
      <c r="X41" s="118">
        <v>555.47199999999998</v>
      </c>
      <c r="Y41" s="118">
        <v>7717.9459999999999</v>
      </c>
      <c r="Z41" s="118">
        <v>14176.909</v>
      </c>
      <c r="AA41" s="118">
        <v>11793.71</v>
      </c>
      <c r="AB41" s="14"/>
    </row>
    <row r="42" spans="2:28">
      <c r="B42" s="13"/>
      <c r="C42" s="120" t="s">
        <v>72</v>
      </c>
      <c r="D42" s="120" t="s">
        <v>109</v>
      </c>
      <c r="E42" s="120" t="s">
        <v>88</v>
      </c>
      <c r="F42" s="120" t="s">
        <v>37</v>
      </c>
      <c r="G42" s="118">
        <v>-0.441</v>
      </c>
      <c r="H42" s="118">
        <v>-0.17499999999999999</v>
      </c>
      <c r="I42" s="118">
        <v>46.792999999999999</v>
      </c>
      <c r="J42" s="118">
        <v>63.972999999999999</v>
      </c>
      <c r="K42" s="118">
        <v>60.627000000000002</v>
      </c>
      <c r="L42" s="118">
        <v>101.11499999999999</v>
      </c>
      <c r="M42" s="118">
        <v>-55.384999999999998</v>
      </c>
      <c r="N42" s="118">
        <v>-64.873999999999995</v>
      </c>
      <c r="O42" s="118">
        <v>-8.5939999999999994</v>
      </c>
      <c r="P42" s="118">
        <v>425.15699999999998</v>
      </c>
      <c r="Q42" s="118">
        <v>347</v>
      </c>
      <c r="R42" s="118">
        <v>201.32300000000001</v>
      </c>
      <c r="S42" s="118">
        <v>178.12100000000001</v>
      </c>
      <c r="T42" s="118">
        <v>277.54399999999998</v>
      </c>
      <c r="U42" s="118">
        <v>559.27</v>
      </c>
      <c r="V42" s="118">
        <v>563.44500000000005</v>
      </c>
      <c r="W42" s="118">
        <v>2042.865</v>
      </c>
      <c r="X42" s="118">
        <v>3440.25</v>
      </c>
      <c r="Y42" s="118">
        <v>907.02099999999996</v>
      </c>
      <c r="Z42" s="118">
        <v>751.755</v>
      </c>
      <c r="AA42" s="118">
        <v>1061.5920000000001</v>
      </c>
      <c r="AB42" s="14"/>
    </row>
    <row r="43" spans="2:28">
      <c r="B43" s="13"/>
      <c r="C43" s="120" t="s">
        <v>81</v>
      </c>
      <c r="D43" s="120" t="s">
        <v>110</v>
      </c>
      <c r="E43" s="120" t="s">
        <v>82</v>
      </c>
      <c r="F43" s="120" t="s">
        <v>14</v>
      </c>
      <c r="G43" s="118">
        <v>7037903.9570000004</v>
      </c>
      <c r="H43" s="118">
        <v>7061627.6890000002</v>
      </c>
      <c r="I43" s="118">
        <v>7148540.665</v>
      </c>
      <c r="J43" s="118">
        <v>7225976.0460000001</v>
      </c>
      <c r="K43" s="118">
        <v>7563926.0049999999</v>
      </c>
      <c r="L43" s="118">
        <v>7649163.4720000001</v>
      </c>
      <c r="M43" s="118">
        <v>7846937.8830000004</v>
      </c>
      <c r="N43" s="118">
        <v>8135576.0279999999</v>
      </c>
      <c r="O43" s="118">
        <v>8003450.9859999996</v>
      </c>
      <c r="P43" s="118">
        <v>7062612.7549999999</v>
      </c>
      <c r="Q43" s="118">
        <v>6927985.2429999998</v>
      </c>
      <c r="R43" s="118">
        <v>7282120.1799999997</v>
      </c>
      <c r="S43" s="118">
        <v>6813559.818</v>
      </c>
      <c r="T43" s="118">
        <v>6687336.7290000003</v>
      </c>
      <c r="U43" s="118">
        <v>6760872.2070000004</v>
      </c>
      <c r="V43" s="118">
        <v>6759672.2259999998</v>
      </c>
      <c r="W43" s="118">
        <v>6772404.841</v>
      </c>
      <c r="X43" s="118">
        <v>6995067.1399999997</v>
      </c>
      <c r="Y43" s="118">
        <v>7067508.858</v>
      </c>
      <c r="Z43" s="118">
        <v>7024491.1529999999</v>
      </c>
      <c r="AA43" s="118">
        <v>6694225.9749999996</v>
      </c>
      <c r="AB43" s="14"/>
    </row>
    <row r="44" spans="2:28">
      <c r="B44" s="13"/>
      <c r="C44" s="120" t="s">
        <v>81</v>
      </c>
      <c r="D44" s="120" t="s">
        <v>110</v>
      </c>
      <c r="E44" s="120" t="s">
        <v>83</v>
      </c>
      <c r="F44" s="120" t="s">
        <v>31</v>
      </c>
      <c r="G44" s="118">
        <v>1620786.9680000001</v>
      </c>
      <c r="H44" s="118">
        <v>1604725.54</v>
      </c>
      <c r="I44" s="118">
        <v>1614865.5490000001</v>
      </c>
      <c r="J44" s="118">
        <v>1507528.808</v>
      </c>
      <c r="K44" s="118">
        <v>1703214.9669999999</v>
      </c>
      <c r="L44" s="118">
        <v>1640948.4939999999</v>
      </c>
      <c r="M44" s="118">
        <v>1566870.2120000001</v>
      </c>
      <c r="N44" s="118">
        <v>1628715.077</v>
      </c>
      <c r="O44" s="118">
        <v>1667192.4639999999</v>
      </c>
      <c r="P44" s="118">
        <v>1609614.1129999999</v>
      </c>
      <c r="Q44" s="118">
        <v>1582095.7590000001</v>
      </c>
      <c r="R44" s="118">
        <v>1657578.145</v>
      </c>
      <c r="S44" s="118">
        <v>1597109.952</v>
      </c>
      <c r="T44" s="118">
        <v>1646069.7250000001</v>
      </c>
      <c r="U44" s="118">
        <v>1761029.1459999999</v>
      </c>
      <c r="V44" s="118">
        <v>1653635.3540000001</v>
      </c>
      <c r="W44" s="118">
        <v>1685361.2</v>
      </c>
      <c r="X44" s="118">
        <v>1733941.82</v>
      </c>
      <c r="Y44" s="118">
        <v>1688320.9439999999</v>
      </c>
      <c r="Z44" s="118">
        <v>1689363.605</v>
      </c>
      <c r="AA44" s="118">
        <v>1686365.128</v>
      </c>
      <c r="AB44" s="14"/>
    </row>
    <row r="45" spans="2:28">
      <c r="B45" s="13"/>
      <c r="C45" s="120" t="s">
        <v>81</v>
      </c>
      <c r="D45" s="120" t="s">
        <v>110</v>
      </c>
      <c r="E45" s="120" t="s">
        <v>84</v>
      </c>
      <c r="F45" s="120" t="s">
        <v>32</v>
      </c>
      <c r="G45" s="118">
        <v>389058.72899999999</v>
      </c>
      <c r="H45" s="118">
        <v>370513.245</v>
      </c>
      <c r="I45" s="118">
        <v>367440.58899999998</v>
      </c>
      <c r="J45" s="118">
        <v>382812.21</v>
      </c>
      <c r="K45" s="118">
        <v>408663.55900000001</v>
      </c>
      <c r="L45" s="118">
        <v>417822.56699999998</v>
      </c>
      <c r="M45" s="118">
        <v>427820.22600000002</v>
      </c>
      <c r="N45" s="118">
        <v>431568.62099999998</v>
      </c>
      <c r="O45" s="118">
        <v>421965.83399999997</v>
      </c>
      <c r="P45" s="118">
        <v>304494.83</v>
      </c>
      <c r="Q45" s="118">
        <v>391958.40299999999</v>
      </c>
      <c r="R45" s="118">
        <v>410367.43699999998</v>
      </c>
      <c r="S45" s="118">
        <v>398721.38799999998</v>
      </c>
      <c r="T45" s="118">
        <v>439860.36499999999</v>
      </c>
      <c r="U45" s="118">
        <v>422891.00199999998</v>
      </c>
      <c r="V45" s="118">
        <v>434985.22200000001</v>
      </c>
      <c r="W45" s="118">
        <v>446641.05599999998</v>
      </c>
      <c r="X45" s="118">
        <v>457211.68199999997</v>
      </c>
      <c r="Y45" s="118">
        <v>477999.549</v>
      </c>
      <c r="Z45" s="118">
        <v>463426.81199999998</v>
      </c>
      <c r="AA45" s="118">
        <v>432687.28499999997</v>
      </c>
      <c r="AB45" s="14"/>
    </row>
    <row r="46" spans="2:28">
      <c r="B46" s="13"/>
      <c r="C46" s="120" t="s">
        <v>81</v>
      </c>
      <c r="D46" s="120" t="s">
        <v>110</v>
      </c>
      <c r="E46" s="120" t="s">
        <v>85</v>
      </c>
      <c r="F46" s="120" t="s">
        <v>33</v>
      </c>
      <c r="G46" s="118">
        <v>3242184.9959999998</v>
      </c>
      <c r="H46" s="118">
        <v>3307301.5950000002</v>
      </c>
      <c r="I46" s="118">
        <v>3335369.1669999999</v>
      </c>
      <c r="J46" s="118">
        <v>3442573.8769999999</v>
      </c>
      <c r="K46" s="118">
        <v>3537496.48</v>
      </c>
      <c r="L46" s="118">
        <v>3682299.4279999998</v>
      </c>
      <c r="M46" s="118">
        <v>3921286.702</v>
      </c>
      <c r="N46" s="118">
        <v>4162983.0989999999</v>
      </c>
      <c r="O46" s="118">
        <v>4011504.1830000002</v>
      </c>
      <c r="P46" s="118">
        <v>3385205.128</v>
      </c>
      <c r="Q46" s="118">
        <v>3164064.611</v>
      </c>
      <c r="R46" s="118">
        <v>3403884.3</v>
      </c>
      <c r="S46" s="118">
        <v>3019263.3620000002</v>
      </c>
      <c r="T46" s="118">
        <v>2854978.7009999999</v>
      </c>
      <c r="U46" s="118">
        <v>2870056.128</v>
      </c>
      <c r="V46" s="118">
        <v>2930957.8739999998</v>
      </c>
      <c r="W46" s="118">
        <v>2929037.1290000002</v>
      </c>
      <c r="X46" s="118">
        <v>3069969.2220000001</v>
      </c>
      <c r="Y46" s="118">
        <v>3175370.1770000001</v>
      </c>
      <c r="Z46" s="118">
        <v>3255848.591</v>
      </c>
      <c r="AA46" s="118">
        <v>3181615.8360000001</v>
      </c>
      <c r="AB46" s="14"/>
    </row>
    <row r="47" spans="2:28">
      <c r="B47" s="13"/>
      <c r="C47" s="120" t="s">
        <v>81</v>
      </c>
      <c r="D47" s="120" t="s">
        <v>110</v>
      </c>
      <c r="E47" s="120" t="s">
        <v>86</v>
      </c>
      <c r="F47" s="120" t="s">
        <v>34</v>
      </c>
      <c r="G47" s="118">
        <v>1752901.1669999999</v>
      </c>
      <c r="H47" s="118">
        <v>1747852.03</v>
      </c>
      <c r="I47" s="118">
        <v>1794411.9920000001</v>
      </c>
      <c r="J47" s="118">
        <v>1851814.477</v>
      </c>
      <c r="K47" s="118">
        <v>1866052.8589999999</v>
      </c>
      <c r="L47" s="118">
        <v>1865795.612</v>
      </c>
      <c r="M47" s="118">
        <v>1887724.2930000001</v>
      </c>
      <c r="N47" s="118">
        <v>1864013.7409999999</v>
      </c>
      <c r="O47" s="118">
        <v>1852484.551</v>
      </c>
      <c r="P47" s="118">
        <v>1719360.6810000001</v>
      </c>
      <c r="Q47" s="118">
        <v>1740849.8829999999</v>
      </c>
      <c r="R47" s="118">
        <v>1759958.571</v>
      </c>
      <c r="S47" s="118">
        <v>1751060.7409999999</v>
      </c>
      <c r="T47" s="118">
        <v>1693993.2350000001</v>
      </c>
      <c r="U47" s="118">
        <v>1652974.3</v>
      </c>
      <c r="V47" s="118">
        <v>1686460.899</v>
      </c>
      <c r="W47" s="118">
        <v>1653651.48</v>
      </c>
      <c r="X47" s="118">
        <v>1670586.223</v>
      </c>
      <c r="Y47" s="118">
        <v>1658346.9280000001</v>
      </c>
      <c r="Z47" s="118">
        <v>1541572.7420000001</v>
      </c>
      <c r="AA47" s="118">
        <v>1323750.841</v>
      </c>
      <c r="AB47" s="14"/>
    </row>
    <row r="48" spans="2:28">
      <c r="B48" s="13"/>
      <c r="C48" s="120" t="s">
        <v>81</v>
      </c>
      <c r="D48" s="120" t="s">
        <v>110</v>
      </c>
      <c r="E48" s="120" t="s">
        <v>87</v>
      </c>
      <c r="F48" s="120" t="s">
        <v>35</v>
      </c>
      <c r="G48" s="118">
        <v>32972</v>
      </c>
      <c r="H48" s="118">
        <v>31235</v>
      </c>
      <c r="I48" s="118">
        <v>36382</v>
      </c>
      <c r="J48" s="118">
        <v>41114</v>
      </c>
      <c r="K48" s="118">
        <v>48360.821000000004</v>
      </c>
      <c r="L48" s="118">
        <v>42141.964</v>
      </c>
      <c r="M48" s="118">
        <v>43075.089</v>
      </c>
      <c r="N48" s="118">
        <v>48179.372000000003</v>
      </c>
      <c r="O48" s="118">
        <v>50141.942000000003</v>
      </c>
      <c r="P48" s="118">
        <v>43333.955000000002</v>
      </c>
      <c r="Q48" s="118">
        <v>48233.315999999999</v>
      </c>
      <c r="R48" s="118">
        <v>49542.993999999999</v>
      </c>
      <c r="S48" s="118">
        <v>46592.891000000003</v>
      </c>
      <c r="T48" s="118">
        <v>51554.322</v>
      </c>
      <c r="U48" s="118">
        <v>52775.417999999998</v>
      </c>
      <c r="V48" s="118">
        <v>52464.440999999999</v>
      </c>
      <c r="W48" s="118">
        <v>55202.616000000002</v>
      </c>
      <c r="X48" s="118">
        <v>59433.997000000003</v>
      </c>
      <c r="Y48" s="118">
        <v>66084.75</v>
      </c>
      <c r="Z48" s="118">
        <v>72954.123000000007</v>
      </c>
      <c r="AA48" s="118">
        <v>68189.130999999994</v>
      </c>
      <c r="AB48" s="14"/>
    </row>
    <row r="49" spans="2:28">
      <c r="B49" s="13"/>
      <c r="C49" s="120" t="s">
        <v>81</v>
      </c>
      <c r="D49" s="120" t="s">
        <v>110</v>
      </c>
      <c r="E49" s="120" t="s">
        <v>88</v>
      </c>
      <c r="F49" s="120" t="s">
        <v>37</v>
      </c>
      <c r="G49" s="118">
        <v>9.7000000000000003E-2</v>
      </c>
      <c r="H49" s="118">
        <v>0.28000000000000003</v>
      </c>
      <c r="I49" s="118">
        <v>71.367999999999995</v>
      </c>
      <c r="J49" s="118">
        <v>132.672</v>
      </c>
      <c r="K49" s="118">
        <v>137.31899999999999</v>
      </c>
      <c r="L49" s="118">
        <v>155.40700000000001</v>
      </c>
      <c r="M49" s="118">
        <v>161.36099999999999</v>
      </c>
      <c r="N49" s="118">
        <v>116.11799999999999</v>
      </c>
      <c r="O49" s="118">
        <v>162.011</v>
      </c>
      <c r="P49" s="118">
        <v>604.048</v>
      </c>
      <c r="Q49" s="118">
        <v>783.27099999999996</v>
      </c>
      <c r="R49" s="118">
        <v>788.73400000000004</v>
      </c>
      <c r="S49" s="118">
        <v>811.48400000000004</v>
      </c>
      <c r="T49" s="118">
        <v>880.38</v>
      </c>
      <c r="U49" s="118">
        <v>1146.213</v>
      </c>
      <c r="V49" s="118">
        <v>1168.4359999999999</v>
      </c>
      <c r="W49" s="118">
        <v>2511.36</v>
      </c>
      <c r="X49" s="118">
        <v>3924.1959999999999</v>
      </c>
      <c r="Y49" s="118">
        <v>1386.51</v>
      </c>
      <c r="Z49" s="118">
        <v>1325.28</v>
      </c>
      <c r="AA49" s="118">
        <v>1617.7539999999999</v>
      </c>
      <c r="AB49" s="14"/>
    </row>
    <row r="50" spans="2:28">
      <c r="B50" s="13"/>
      <c r="C50" s="154"/>
      <c r="D50" s="154"/>
      <c r="E50" s="154"/>
      <c r="F50" s="154"/>
      <c r="G50" s="153"/>
      <c r="H50" s="153"/>
      <c r="I50" s="153"/>
      <c r="J50" s="153"/>
      <c r="K50" s="153"/>
      <c r="L50" s="153"/>
      <c r="M50" s="153"/>
      <c r="N50" s="153"/>
      <c r="O50" s="153"/>
      <c r="P50" s="153"/>
      <c r="Q50" s="153"/>
      <c r="R50" s="153"/>
      <c r="S50" s="153"/>
      <c r="T50" s="153"/>
      <c r="U50" s="153"/>
      <c r="V50" s="153"/>
      <c r="W50" s="153"/>
      <c r="X50" s="153"/>
      <c r="Y50" s="153"/>
      <c r="Z50" s="153"/>
      <c r="AA50" s="153"/>
      <c r="AB50" s="14"/>
    </row>
    <row r="51" spans="2:28">
      <c r="B51" s="13"/>
      <c r="C51" s="11" t="s">
        <v>38</v>
      </c>
      <c r="D51" s="11"/>
      <c r="E51" s="11"/>
      <c r="F51" s="15"/>
      <c r="G51" s="153"/>
      <c r="H51" s="153"/>
      <c r="I51" s="153"/>
      <c r="J51" s="153"/>
      <c r="K51" s="153"/>
      <c r="L51" s="153"/>
      <c r="M51" s="153"/>
      <c r="N51" s="153"/>
      <c r="O51" s="153"/>
      <c r="P51" s="153"/>
      <c r="Q51" s="153"/>
      <c r="R51" s="153"/>
      <c r="S51" s="153"/>
      <c r="T51" s="153"/>
      <c r="U51" s="153"/>
      <c r="V51" s="153"/>
      <c r="W51" s="153"/>
      <c r="X51" s="153"/>
      <c r="Y51" s="153"/>
      <c r="Z51" s="153"/>
      <c r="AA51" s="153"/>
      <c r="AB51" s="14"/>
    </row>
    <row r="52" spans="2:28">
      <c r="B52" s="13"/>
      <c r="C52" s="11" t="s">
        <v>36</v>
      </c>
      <c r="D52" s="11"/>
      <c r="E52" s="11"/>
      <c r="F52" s="11" t="s">
        <v>39</v>
      </c>
      <c r="G52" s="153"/>
      <c r="H52" s="153"/>
      <c r="I52" s="153"/>
      <c r="J52" s="153"/>
      <c r="K52" s="153"/>
      <c r="L52" s="153"/>
      <c r="M52" s="153"/>
      <c r="N52" s="153"/>
      <c r="O52" s="153"/>
      <c r="P52" s="153"/>
      <c r="Q52" s="153"/>
      <c r="R52" s="153"/>
      <c r="S52" s="153"/>
      <c r="T52" s="153"/>
      <c r="U52" s="153"/>
      <c r="V52" s="153"/>
      <c r="W52" s="153"/>
      <c r="X52" s="153"/>
      <c r="Y52" s="153"/>
      <c r="Z52" s="153"/>
      <c r="AA52" s="153"/>
      <c r="AB52" s="14"/>
    </row>
    <row r="53" spans="2:28">
      <c r="B53" s="13"/>
      <c r="C53" s="11"/>
      <c r="D53" s="11"/>
      <c r="E53" s="11"/>
      <c r="F53" s="11"/>
      <c r="G53" s="153"/>
      <c r="H53" s="153"/>
      <c r="I53" s="153"/>
      <c r="J53" s="153"/>
      <c r="K53" s="153"/>
      <c r="L53" s="153"/>
      <c r="M53" s="153"/>
      <c r="N53" s="153"/>
      <c r="O53" s="153"/>
      <c r="P53" s="153"/>
      <c r="Q53" s="153"/>
      <c r="R53" s="153"/>
      <c r="S53" s="153"/>
      <c r="T53" s="153"/>
      <c r="U53" s="153"/>
      <c r="V53" s="153"/>
      <c r="W53" s="153"/>
      <c r="X53" s="153"/>
      <c r="Y53" s="153"/>
      <c r="Z53" s="153"/>
      <c r="AA53" s="153"/>
      <c r="AB53" s="14"/>
    </row>
    <row r="54" spans="2:28">
      <c r="B54" s="13"/>
      <c r="C54" s="11" t="s">
        <v>13</v>
      </c>
      <c r="D54" s="11" t="s">
        <v>307</v>
      </c>
      <c r="E54" s="11"/>
      <c r="F54" s="11"/>
      <c r="G54" s="153"/>
      <c r="H54" s="153"/>
      <c r="I54" s="153"/>
      <c r="J54" s="153"/>
      <c r="K54" s="153"/>
      <c r="L54" s="153"/>
      <c r="M54" s="153"/>
      <c r="N54" s="153"/>
      <c r="O54" s="153"/>
      <c r="P54" s="153"/>
      <c r="Q54" s="153"/>
      <c r="R54" s="153"/>
      <c r="S54" s="153"/>
      <c r="T54" s="153"/>
      <c r="U54" s="153"/>
      <c r="V54" s="153"/>
      <c r="W54" s="153"/>
      <c r="X54" s="153"/>
      <c r="Y54" s="153"/>
      <c r="Z54" s="153"/>
      <c r="AA54" s="153"/>
      <c r="AB54" s="14"/>
    </row>
    <row r="55" spans="2:28">
      <c r="B55" s="13"/>
      <c r="C55" s="11" t="s">
        <v>15</v>
      </c>
      <c r="D55" s="11" t="s">
        <v>303</v>
      </c>
      <c r="E55" s="11"/>
      <c r="F55" s="11"/>
      <c r="G55" s="153"/>
      <c r="H55" s="153"/>
      <c r="I55" s="153"/>
      <c r="J55" s="153"/>
      <c r="K55" s="153"/>
      <c r="L55" s="153"/>
      <c r="M55" s="153"/>
      <c r="N55" s="153"/>
      <c r="O55" s="153"/>
      <c r="P55" s="153"/>
      <c r="Q55" s="153"/>
      <c r="R55" s="153"/>
      <c r="S55" s="153"/>
      <c r="T55" s="153"/>
      <c r="U55" s="153"/>
      <c r="V55" s="153"/>
      <c r="W55" s="153"/>
      <c r="X55" s="153"/>
      <c r="Y55" s="153"/>
      <c r="Z55" s="153"/>
      <c r="AA55" s="153"/>
      <c r="AB55" s="14"/>
    </row>
    <row r="56" spans="2:28">
      <c r="B56" s="13"/>
      <c r="C56" s="11"/>
      <c r="D56" s="11"/>
      <c r="E56" s="11"/>
      <c r="F56" s="11"/>
      <c r="G56" s="153"/>
      <c r="H56" s="153"/>
      <c r="I56" s="153"/>
      <c r="J56" s="153"/>
      <c r="K56" s="153"/>
      <c r="L56" s="153"/>
      <c r="M56" s="153"/>
      <c r="N56" s="153"/>
      <c r="O56" s="153"/>
      <c r="P56" s="153"/>
      <c r="Q56" s="153"/>
      <c r="R56" s="153"/>
      <c r="S56" s="153"/>
      <c r="T56" s="153"/>
      <c r="U56" s="153"/>
      <c r="V56" s="153"/>
      <c r="W56" s="153"/>
      <c r="X56" s="153"/>
      <c r="Y56" s="153"/>
      <c r="Z56" s="153"/>
      <c r="AA56" s="153"/>
      <c r="AB56" s="14"/>
    </row>
    <row r="57" spans="2:28">
      <c r="B57" s="13"/>
      <c r="C57" s="84" t="s">
        <v>115</v>
      </c>
      <c r="D57" s="84" t="s">
        <v>116</v>
      </c>
      <c r="E57" s="84" t="s">
        <v>78</v>
      </c>
      <c r="F57" s="84" t="s">
        <v>79</v>
      </c>
      <c r="G57" s="84" t="s">
        <v>16</v>
      </c>
      <c r="H57" s="84" t="s">
        <v>17</v>
      </c>
      <c r="I57" s="84" t="s">
        <v>18</v>
      </c>
      <c r="J57" s="84" t="s">
        <v>19</v>
      </c>
      <c r="K57" s="84" t="s">
        <v>20</v>
      </c>
      <c r="L57" s="84" t="s">
        <v>21</v>
      </c>
      <c r="M57" s="84" t="s">
        <v>22</v>
      </c>
      <c r="N57" s="84" t="s">
        <v>23</v>
      </c>
      <c r="O57" s="84" t="s">
        <v>24</v>
      </c>
      <c r="P57" s="84" t="s">
        <v>25</v>
      </c>
      <c r="Q57" s="84" t="s">
        <v>26</v>
      </c>
      <c r="R57" s="84" t="s">
        <v>27</v>
      </c>
      <c r="S57" s="84" t="s">
        <v>28</v>
      </c>
      <c r="T57" s="84" t="s">
        <v>48</v>
      </c>
      <c r="U57" s="84" t="s">
        <v>76</v>
      </c>
      <c r="V57" s="84" t="s">
        <v>101</v>
      </c>
      <c r="W57" s="84" t="s">
        <v>106</v>
      </c>
      <c r="X57" s="84" t="s">
        <v>289</v>
      </c>
      <c r="Y57" s="84" t="s">
        <v>291</v>
      </c>
      <c r="Z57" s="84" t="s">
        <v>300</v>
      </c>
      <c r="AA57" s="84" t="s">
        <v>326</v>
      </c>
      <c r="AB57" s="14"/>
    </row>
    <row r="58" spans="2:28">
      <c r="B58" s="13"/>
      <c r="C58" s="84" t="s">
        <v>80</v>
      </c>
      <c r="D58" s="84" t="s">
        <v>1</v>
      </c>
      <c r="E58" s="84" t="s">
        <v>82</v>
      </c>
      <c r="F58" s="84" t="s">
        <v>14</v>
      </c>
      <c r="G58" s="118">
        <v>12.948</v>
      </c>
      <c r="H58" s="118">
        <v>13.037000000000001</v>
      </c>
      <c r="I58" s="118">
        <v>13.048999999999999</v>
      </c>
      <c r="J58" s="118">
        <v>12.988</v>
      </c>
      <c r="K58" s="118">
        <v>13.595000000000001</v>
      </c>
      <c r="L58" s="118">
        <v>13.685</v>
      </c>
      <c r="M58" s="118">
        <v>13.992000000000001</v>
      </c>
      <c r="N58" s="118">
        <v>14.535</v>
      </c>
      <c r="O58" s="118">
        <v>14.231</v>
      </c>
      <c r="P58" s="118">
        <v>12.676</v>
      </c>
      <c r="Q58" s="118">
        <v>12.105</v>
      </c>
      <c r="R58" s="118">
        <v>12.871</v>
      </c>
      <c r="S58" s="118">
        <v>11.904999999999999</v>
      </c>
      <c r="T58" s="118">
        <v>11.622</v>
      </c>
      <c r="U58" s="118">
        <v>11.71</v>
      </c>
      <c r="V58" s="118">
        <v>11.532999999999999</v>
      </c>
      <c r="W58" s="118">
        <v>11.496</v>
      </c>
      <c r="X58" s="118">
        <v>11.882</v>
      </c>
      <c r="Y58" s="118">
        <v>11.946</v>
      </c>
      <c r="Z58" s="118">
        <v>11.917</v>
      </c>
      <c r="AA58" s="118">
        <v>11.555999999999999</v>
      </c>
      <c r="AB58" s="14"/>
    </row>
    <row r="59" spans="2:28">
      <c r="B59" s="13"/>
      <c r="C59" s="84" t="s">
        <v>80</v>
      </c>
      <c r="D59" s="84" t="s">
        <v>1</v>
      </c>
      <c r="E59" s="84" t="s">
        <v>83</v>
      </c>
      <c r="F59" s="84" t="s">
        <v>31</v>
      </c>
      <c r="G59" s="118">
        <v>3.4209999999999998</v>
      </c>
      <c r="H59" s="118">
        <v>3.3690000000000002</v>
      </c>
      <c r="I59" s="118">
        <v>3.3639999999999999</v>
      </c>
      <c r="J59" s="118">
        <v>3.1040000000000001</v>
      </c>
      <c r="K59" s="118">
        <v>3.5390000000000001</v>
      </c>
      <c r="L59" s="118">
        <v>3.379</v>
      </c>
      <c r="M59" s="118">
        <v>3.1949999999999998</v>
      </c>
      <c r="N59" s="118">
        <v>3.2949999999999999</v>
      </c>
      <c r="O59" s="118">
        <v>3.3820000000000001</v>
      </c>
      <c r="P59" s="118">
        <v>3.3079999999999998</v>
      </c>
      <c r="Q59" s="118">
        <v>3.222</v>
      </c>
      <c r="R59" s="118">
        <v>3.3820000000000001</v>
      </c>
      <c r="S59" s="118">
        <v>3.2440000000000002</v>
      </c>
      <c r="T59" s="118">
        <v>3.3380000000000001</v>
      </c>
      <c r="U59" s="118">
        <v>3.556</v>
      </c>
      <c r="V59" s="118">
        <v>3.3069999999999999</v>
      </c>
      <c r="W59" s="118">
        <v>3.359</v>
      </c>
      <c r="X59" s="118">
        <v>3.45</v>
      </c>
      <c r="Y59" s="118">
        <v>3.3149999999999999</v>
      </c>
      <c r="Z59" s="118">
        <v>3.3069999999999999</v>
      </c>
      <c r="AA59" s="118">
        <v>3.3210000000000002</v>
      </c>
      <c r="AB59" s="14"/>
    </row>
    <row r="60" spans="2:28">
      <c r="B60" s="13"/>
      <c r="C60" s="84" t="s">
        <v>80</v>
      </c>
      <c r="D60" s="84" t="s">
        <v>1</v>
      </c>
      <c r="E60" s="84" t="s">
        <v>84</v>
      </c>
      <c r="F60" s="84" t="s">
        <v>32</v>
      </c>
      <c r="G60" s="118">
        <v>0.35099999999999998</v>
      </c>
      <c r="H60" s="118">
        <v>0.33700000000000002</v>
      </c>
      <c r="I60" s="118">
        <v>0.32500000000000001</v>
      </c>
      <c r="J60" s="118">
        <v>0.31900000000000001</v>
      </c>
      <c r="K60" s="118">
        <v>0.32200000000000001</v>
      </c>
      <c r="L60" s="118">
        <v>0.32</v>
      </c>
      <c r="M60" s="118">
        <v>0.32700000000000001</v>
      </c>
      <c r="N60" s="118">
        <v>0.31900000000000001</v>
      </c>
      <c r="O60" s="118">
        <v>0.31900000000000001</v>
      </c>
      <c r="P60" s="118">
        <v>0.31</v>
      </c>
      <c r="Q60" s="118">
        <v>0.372</v>
      </c>
      <c r="R60" s="118">
        <v>0.38800000000000001</v>
      </c>
      <c r="S60" s="118">
        <v>0.41799999999999998</v>
      </c>
      <c r="T60" s="118">
        <v>0.48299999999999998</v>
      </c>
      <c r="U60" s="118">
        <v>0.42699999999999999</v>
      </c>
      <c r="V60" s="118">
        <v>0.42599999999999999</v>
      </c>
      <c r="W60" s="118">
        <v>0.46400000000000002</v>
      </c>
      <c r="X60" s="118">
        <v>0.47399999999999998</v>
      </c>
      <c r="Y60" s="118">
        <v>0.49</v>
      </c>
      <c r="Z60" s="118">
        <v>0.49099999999999999</v>
      </c>
      <c r="AA60" s="118">
        <v>0.49199999999999999</v>
      </c>
      <c r="AB60" s="14"/>
    </row>
    <row r="61" spans="2:28">
      <c r="B61" s="13"/>
      <c r="C61" s="84" t="s">
        <v>80</v>
      </c>
      <c r="D61" s="84" t="s">
        <v>1</v>
      </c>
      <c r="E61" s="84" t="s">
        <v>85</v>
      </c>
      <c r="F61" s="84" t="s">
        <v>33</v>
      </c>
      <c r="G61" s="118">
        <v>7.3559999999999999</v>
      </c>
      <c r="H61" s="118">
        <v>7.492</v>
      </c>
      <c r="I61" s="118">
        <v>7.532</v>
      </c>
      <c r="J61" s="118">
        <v>7.7389999999999999</v>
      </c>
      <c r="K61" s="118">
        <v>7.9169999999999998</v>
      </c>
      <c r="L61" s="118">
        <v>8.2159999999999993</v>
      </c>
      <c r="M61" s="118">
        <v>8.7309999999999999</v>
      </c>
      <c r="N61" s="118">
        <v>9.2289999999999992</v>
      </c>
      <c r="O61" s="118">
        <v>8.8840000000000003</v>
      </c>
      <c r="P61" s="118">
        <v>7.5</v>
      </c>
      <c r="Q61" s="118">
        <v>6.9580000000000002</v>
      </c>
      <c r="R61" s="118">
        <v>7.5039999999999996</v>
      </c>
      <c r="S61" s="118">
        <v>6.657</v>
      </c>
      <c r="T61" s="118">
        <v>6.2750000000000004</v>
      </c>
      <c r="U61" s="118">
        <v>6.2839999999999998</v>
      </c>
      <c r="V61" s="118">
        <v>6.4119999999999999</v>
      </c>
      <c r="W61" s="118">
        <v>6.3849999999999998</v>
      </c>
      <c r="X61" s="118">
        <v>6.6680000000000001</v>
      </c>
      <c r="Y61" s="118">
        <v>6.883</v>
      </c>
      <c r="Z61" s="118">
        <v>7.0490000000000004</v>
      </c>
      <c r="AA61" s="118">
        <v>6.883</v>
      </c>
      <c r="AB61" s="14"/>
    </row>
    <row r="62" spans="2:28">
      <c r="B62" s="13"/>
      <c r="C62" s="84" t="s">
        <v>80</v>
      </c>
      <c r="D62" s="84" t="s">
        <v>1</v>
      </c>
      <c r="E62" s="84" t="s">
        <v>86</v>
      </c>
      <c r="F62" s="84" t="s">
        <v>34</v>
      </c>
      <c r="G62" s="118">
        <v>1.821</v>
      </c>
      <c r="H62" s="118">
        <v>1.839</v>
      </c>
      <c r="I62" s="118">
        <v>1.829</v>
      </c>
      <c r="J62" s="118">
        <v>1.825</v>
      </c>
      <c r="K62" s="118">
        <v>1.8160000000000001</v>
      </c>
      <c r="L62" s="118">
        <v>1.77</v>
      </c>
      <c r="M62" s="118">
        <v>1.7390000000000001</v>
      </c>
      <c r="N62" s="118">
        <v>1.6930000000000001</v>
      </c>
      <c r="O62" s="118">
        <v>1.6459999999999999</v>
      </c>
      <c r="P62" s="118">
        <v>1.5569999999999999</v>
      </c>
      <c r="Q62" s="118">
        <v>1.5529999999999999</v>
      </c>
      <c r="R62" s="118">
        <v>1.597</v>
      </c>
      <c r="S62" s="118">
        <v>1.5860000000000001</v>
      </c>
      <c r="T62" s="118">
        <v>1.526</v>
      </c>
      <c r="U62" s="118">
        <v>1.444</v>
      </c>
      <c r="V62" s="118">
        <v>1.3879999999999999</v>
      </c>
      <c r="W62" s="118">
        <v>1.2889999999999999</v>
      </c>
      <c r="X62" s="118">
        <v>1.2889999999999999</v>
      </c>
      <c r="Y62" s="118">
        <v>1.258</v>
      </c>
      <c r="Z62" s="118">
        <v>1.07</v>
      </c>
      <c r="AA62" s="118">
        <v>0.85899999999999999</v>
      </c>
      <c r="AB62" s="14"/>
    </row>
    <row r="63" spans="2:28">
      <c r="B63" s="13"/>
      <c r="C63" s="84" t="s">
        <v>80</v>
      </c>
      <c r="D63" s="84" t="s">
        <v>1</v>
      </c>
      <c r="E63" s="84" t="s">
        <v>87</v>
      </c>
      <c r="F63" s="84" t="s">
        <v>35</v>
      </c>
      <c r="G63" s="119" t="s">
        <v>36</v>
      </c>
      <c r="H63" s="119" t="s">
        <v>36</v>
      </c>
      <c r="I63" s="119" t="s">
        <v>36</v>
      </c>
      <c r="J63" s="119" t="s">
        <v>36</v>
      </c>
      <c r="K63" s="119" t="s">
        <v>36</v>
      </c>
      <c r="L63" s="119" t="s">
        <v>36</v>
      </c>
      <c r="M63" s="119" t="s">
        <v>36</v>
      </c>
      <c r="N63" s="119" t="s">
        <v>36</v>
      </c>
      <c r="O63" s="119" t="s">
        <v>36</v>
      </c>
      <c r="P63" s="119" t="s">
        <v>36</v>
      </c>
      <c r="Q63" s="119" t="s">
        <v>36</v>
      </c>
      <c r="R63" s="119" t="s">
        <v>36</v>
      </c>
      <c r="S63" s="119" t="s">
        <v>36</v>
      </c>
      <c r="T63" s="119" t="s">
        <v>36</v>
      </c>
      <c r="U63" s="119" t="s">
        <v>36</v>
      </c>
      <c r="V63" s="119" t="s">
        <v>36</v>
      </c>
      <c r="W63" s="119" t="s">
        <v>36</v>
      </c>
      <c r="X63" s="119" t="s">
        <v>36</v>
      </c>
      <c r="Y63" s="119" t="s">
        <v>36</v>
      </c>
      <c r="Z63" s="119" t="s">
        <v>36</v>
      </c>
      <c r="AA63" s="119" t="s">
        <v>36</v>
      </c>
      <c r="AB63" s="14"/>
    </row>
    <row r="64" spans="2:28">
      <c r="B64" s="13"/>
      <c r="C64" s="84" t="s">
        <v>80</v>
      </c>
      <c r="D64" s="84" t="s">
        <v>1</v>
      </c>
      <c r="E64" s="84" t="s">
        <v>88</v>
      </c>
      <c r="F64" s="84" t="s">
        <v>37</v>
      </c>
      <c r="G64" s="119" t="s">
        <v>36</v>
      </c>
      <c r="H64" s="119" t="s">
        <v>36</v>
      </c>
      <c r="I64" s="119" t="s">
        <v>36</v>
      </c>
      <c r="J64" s="119" t="s">
        <v>36</v>
      </c>
      <c r="K64" s="119" t="s">
        <v>36</v>
      </c>
      <c r="L64" s="119" t="s">
        <v>36</v>
      </c>
      <c r="M64" s="119" t="s">
        <v>36</v>
      </c>
      <c r="N64" s="119" t="s">
        <v>36</v>
      </c>
      <c r="O64" s="119" t="s">
        <v>36</v>
      </c>
      <c r="P64" s="119" t="s">
        <v>36</v>
      </c>
      <c r="Q64" s="119" t="s">
        <v>36</v>
      </c>
      <c r="R64" s="119" t="s">
        <v>36</v>
      </c>
      <c r="S64" s="119" t="s">
        <v>36</v>
      </c>
      <c r="T64" s="119" t="s">
        <v>36</v>
      </c>
      <c r="U64" s="119" t="s">
        <v>36</v>
      </c>
      <c r="V64" s="119" t="s">
        <v>36</v>
      </c>
      <c r="W64" s="119" t="s">
        <v>36</v>
      </c>
      <c r="X64" s="119" t="s">
        <v>36</v>
      </c>
      <c r="Y64" s="119" t="s">
        <v>36</v>
      </c>
      <c r="Z64" s="119" t="s">
        <v>36</v>
      </c>
      <c r="AA64" s="119" t="s">
        <v>36</v>
      </c>
      <c r="AB64" s="14"/>
    </row>
    <row r="65" spans="2:28">
      <c r="B65" s="13"/>
      <c r="C65" s="84" t="s">
        <v>286</v>
      </c>
      <c r="D65" s="84" t="s">
        <v>287</v>
      </c>
      <c r="E65" s="84" t="s">
        <v>82</v>
      </c>
      <c r="F65" s="84" t="s">
        <v>14</v>
      </c>
      <c r="G65" s="118">
        <v>3.46</v>
      </c>
      <c r="H65" s="118">
        <v>3.4049999999999998</v>
      </c>
      <c r="I65" s="118">
        <v>3.5569999999999999</v>
      </c>
      <c r="J65" s="118">
        <v>3.74</v>
      </c>
      <c r="K65" s="118">
        <v>3.85</v>
      </c>
      <c r="L65" s="118">
        <v>3.895</v>
      </c>
      <c r="M65" s="118">
        <v>3.984</v>
      </c>
      <c r="N65" s="118">
        <v>4.04</v>
      </c>
      <c r="O65" s="118">
        <v>3.984</v>
      </c>
      <c r="P65" s="118">
        <v>3.36</v>
      </c>
      <c r="Q65" s="118">
        <v>3.6030000000000002</v>
      </c>
      <c r="R65" s="118">
        <v>3.669</v>
      </c>
      <c r="S65" s="118">
        <v>3.5489999999999999</v>
      </c>
      <c r="T65" s="118">
        <v>3.5089999999999999</v>
      </c>
      <c r="U65" s="118">
        <v>3.5419999999999998</v>
      </c>
      <c r="V65" s="118">
        <v>3.6840000000000002</v>
      </c>
      <c r="W65" s="118">
        <v>3.7170000000000001</v>
      </c>
      <c r="X65" s="118">
        <v>3.806</v>
      </c>
      <c r="Y65" s="118">
        <v>3.879</v>
      </c>
      <c r="Z65" s="118">
        <v>3.802</v>
      </c>
      <c r="AA65" s="118">
        <v>3.41</v>
      </c>
      <c r="AB65" s="14"/>
    </row>
    <row r="66" spans="2:28">
      <c r="B66" s="13"/>
      <c r="C66" s="84" t="s">
        <v>286</v>
      </c>
      <c r="D66" s="84" t="s">
        <v>287</v>
      </c>
      <c r="E66" s="84" t="s">
        <v>83</v>
      </c>
      <c r="F66" s="84" t="s">
        <v>31</v>
      </c>
      <c r="G66" s="118">
        <v>0.35799999999999998</v>
      </c>
      <c r="H66" s="118">
        <v>0.36699999999999999</v>
      </c>
      <c r="I66" s="118">
        <v>0.38800000000000001</v>
      </c>
      <c r="J66" s="118">
        <v>0.38500000000000001</v>
      </c>
      <c r="K66" s="118">
        <v>0.38900000000000001</v>
      </c>
      <c r="L66" s="118">
        <v>0.39200000000000002</v>
      </c>
      <c r="M66" s="118">
        <v>0.39500000000000002</v>
      </c>
      <c r="N66" s="118">
        <v>0.42399999999999999</v>
      </c>
      <c r="O66" s="118">
        <v>0.41199999999999998</v>
      </c>
      <c r="P66" s="118">
        <v>0.34599999999999997</v>
      </c>
      <c r="Q66" s="118">
        <v>0.36499999999999999</v>
      </c>
      <c r="R66" s="118">
        <v>0.38300000000000001</v>
      </c>
      <c r="S66" s="118">
        <v>0.378</v>
      </c>
      <c r="T66" s="118">
        <v>0.38700000000000001</v>
      </c>
      <c r="U66" s="118">
        <v>0.41699999999999998</v>
      </c>
      <c r="V66" s="118">
        <v>0.41499999999999998</v>
      </c>
      <c r="W66" s="118">
        <v>0.42699999999999999</v>
      </c>
      <c r="X66" s="118">
        <v>0.438</v>
      </c>
      <c r="Y66" s="118">
        <v>0.46500000000000002</v>
      </c>
      <c r="Z66" s="118">
        <v>0.47399999999999998</v>
      </c>
      <c r="AA66" s="118">
        <v>0.44900000000000001</v>
      </c>
      <c r="AB66" s="14"/>
    </row>
    <row r="67" spans="2:28">
      <c r="B67" s="13"/>
      <c r="C67" s="84" t="s">
        <v>286</v>
      </c>
      <c r="D67" s="84" t="s">
        <v>287</v>
      </c>
      <c r="E67" s="84" t="s">
        <v>84</v>
      </c>
      <c r="F67" s="84" t="s">
        <v>32</v>
      </c>
      <c r="G67" s="118">
        <v>0.55600000000000005</v>
      </c>
      <c r="H67" s="118">
        <v>0.52600000000000002</v>
      </c>
      <c r="I67" s="118">
        <v>0.52900000000000003</v>
      </c>
      <c r="J67" s="118">
        <v>0.56699999999999995</v>
      </c>
      <c r="K67" s="118">
        <v>0.62</v>
      </c>
      <c r="L67" s="118">
        <v>0.64</v>
      </c>
      <c r="M67" s="118">
        <v>0.65300000000000002</v>
      </c>
      <c r="N67" s="118">
        <v>0.66700000000000004</v>
      </c>
      <c r="O67" s="118">
        <v>0.64200000000000002</v>
      </c>
      <c r="P67" s="118">
        <v>0.38100000000000001</v>
      </c>
      <c r="Q67" s="118">
        <v>0.51700000000000002</v>
      </c>
      <c r="R67" s="118">
        <v>0.54400000000000004</v>
      </c>
      <c r="S67" s="118">
        <v>0.48599999999999999</v>
      </c>
      <c r="T67" s="118">
        <v>0.51200000000000001</v>
      </c>
      <c r="U67" s="118">
        <v>0.52700000000000002</v>
      </c>
      <c r="V67" s="118">
        <v>0.55300000000000005</v>
      </c>
      <c r="W67" s="118">
        <v>0.53900000000000003</v>
      </c>
      <c r="X67" s="118">
        <v>0.55100000000000005</v>
      </c>
      <c r="Y67" s="118">
        <v>0.58099999999999996</v>
      </c>
      <c r="Z67" s="118">
        <v>0.54600000000000004</v>
      </c>
      <c r="AA67" s="118">
        <v>0.47499999999999998</v>
      </c>
      <c r="AB67" s="14"/>
    </row>
    <row r="68" spans="2:28">
      <c r="B68" s="13"/>
      <c r="C68" s="84" t="s">
        <v>286</v>
      </c>
      <c r="D68" s="84" t="s">
        <v>287</v>
      </c>
      <c r="E68" s="84" t="s">
        <v>85</v>
      </c>
      <c r="F68" s="84" t="s">
        <v>33</v>
      </c>
      <c r="G68" s="118">
        <v>0.20300000000000001</v>
      </c>
      <c r="H68" s="118">
        <v>0.20899999999999999</v>
      </c>
      <c r="I68" s="118">
        <v>0.216</v>
      </c>
      <c r="J68" s="118">
        <v>0.23100000000000001</v>
      </c>
      <c r="K68" s="118">
        <v>0.24099999999999999</v>
      </c>
      <c r="L68" s="118">
        <v>0.247</v>
      </c>
      <c r="M68" s="118">
        <v>0.252</v>
      </c>
      <c r="N68" s="118">
        <v>0.27600000000000002</v>
      </c>
      <c r="O68" s="118">
        <v>0.246</v>
      </c>
      <c r="P68" s="118">
        <v>0.186</v>
      </c>
      <c r="Q68" s="118">
        <v>0.216</v>
      </c>
      <c r="R68" s="118">
        <v>0.22700000000000001</v>
      </c>
      <c r="S68" s="118">
        <v>0.191</v>
      </c>
      <c r="T68" s="118">
        <v>0.185</v>
      </c>
      <c r="U68" s="118">
        <v>0.19</v>
      </c>
      <c r="V68" s="118">
        <v>0.186</v>
      </c>
      <c r="W68" s="118">
        <v>0.19500000000000001</v>
      </c>
      <c r="X68" s="118">
        <v>0.217</v>
      </c>
      <c r="Y68" s="118">
        <v>0.22700000000000001</v>
      </c>
      <c r="Z68" s="118">
        <v>0.23699999999999999</v>
      </c>
      <c r="AA68" s="118">
        <v>0.22900000000000001</v>
      </c>
      <c r="AB68" s="14"/>
    </row>
    <row r="69" spans="2:28">
      <c r="B69" s="13"/>
      <c r="C69" s="84" t="s">
        <v>286</v>
      </c>
      <c r="D69" s="84" t="s">
        <v>287</v>
      </c>
      <c r="E69" s="84" t="s">
        <v>86</v>
      </c>
      <c r="F69" s="84" t="s">
        <v>34</v>
      </c>
      <c r="G69" s="118">
        <v>2.266</v>
      </c>
      <c r="H69" s="118">
        <v>2.23</v>
      </c>
      <c r="I69" s="118">
        <v>2.34</v>
      </c>
      <c r="J69" s="118">
        <v>2.4620000000000002</v>
      </c>
      <c r="K69" s="118">
        <v>2.488</v>
      </c>
      <c r="L69" s="118">
        <v>2.5179999999999998</v>
      </c>
      <c r="M69" s="118">
        <v>2.585</v>
      </c>
      <c r="N69" s="118">
        <v>2.5630000000000002</v>
      </c>
      <c r="O69" s="118">
        <v>2.57</v>
      </c>
      <c r="P69" s="118">
        <v>2.3460000000000001</v>
      </c>
      <c r="Q69" s="118">
        <v>2.3940000000000001</v>
      </c>
      <c r="R69" s="118">
        <v>2.4</v>
      </c>
      <c r="S69" s="118">
        <v>2.3860000000000001</v>
      </c>
      <c r="T69" s="118">
        <v>2.3069999999999999</v>
      </c>
      <c r="U69" s="118">
        <v>2.2850000000000001</v>
      </c>
      <c r="V69" s="118">
        <v>2.4089999999999998</v>
      </c>
      <c r="W69" s="118">
        <v>2.4249999999999998</v>
      </c>
      <c r="X69" s="118">
        <v>2.4580000000000002</v>
      </c>
      <c r="Y69" s="118">
        <v>2.456</v>
      </c>
      <c r="Z69" s="118">
        <v>2.379</v>
      </c>
      <c r="AA69" s="118">
        <v>2.1</v>
      </c>
      <c r="AB69" s="14"/>
    </row>
    <row r="70" spans="2:28">
      <c r="B70" s="13"/>
      <c r="C70" s="84" t="s">
        <v>286</v>
      </c>
      <c r="D70" s="84" t="s">
        <v>287</v>
      </c>
      <c r="E70" s="84" t="s">
        <v>87</v>
      </c>
      <c r="F70" s="84" t="s">
        <v>35</v>
      </c>
      <c r="G70" s="118">
        <v>7.6999999999999999E-2</v>
      </c>
      <c r="H70" s="118">
        <v>7.2999999999999995E-2</v>
      </c>
      <c r="I70" s="118">
        <v>8.5000000000000006E-2</v>
      </c>
      <c r="J70" s="118">
        <v>9.5000000000000001E-2</v>
      </c>
      <c r="K70" s="118">
        <v>0.112</v>
      </c>
      <c r="L70" s="118">
        <v>9.7000000000000003E-2</v>
      </c>
      <c r="M70" s="118">
        <v>9.9000000000000005E-2</v>
      </c>
      <c r="N70" s="118">
        <v>0.11</v>
      </c>
      <c r="O70" s="118">
        <v>0.114</v>
      </c>
      <c r="P70" s="118">
        <v>9.8000000000000004E-2</v>
      </c>
      <c r="Q70" s="118">
        <v>0.109</v>
      </c>
      <c r="R70" s="118">
        <v>0.113</v>
      </c>
      <c r="S70" s="118">
        <v>0.106</v>
      </c>
      <c r="T70" s="118">
        <v>0.11700000000000001</v>
      </c>
      <c r="U70" s="118">
        <v>0.11899999999999999</v>
      </c>
      <c r="V70" s="118">
        <v>0.11799999999999999</v>
      </c>
      <c r="W70" s="118">
        <v>0.124</v>
      </c>
      <c r="X70" s="118">
        <v>0.13300000000000001</v>
      </c>
      <c r="Y70" s="118">
        <v>0.14799999999999999</v>
      </c>
      <c r="Z70" s="118">
        <v>0.16300000000000001</v>
      </c>
      <c r="AA70" s="118">
        <v>0.152</v>
      </c>
      <c r="AB70" s="14"/>
    </row>
    <row r="71" spans="2:28">
      <c r="B71" s="13"/>
      <c r="C71" s="84" t="s">
        <v>286</v>
      </c>
      <c r="D71" s="84" t="s">
        <v>287</v>
      </c>
      <c r="E71" s="84" t="s">
        <v>88</v>
      </c>
      <c r="F71" s="84" t="s">
        <v>37</v>
      </c>
      <c r="G71" s="118">
        <v>0</v>
      </c>
      <c r="H71" s="118">
        <v>0</v>
      </c>
      <c r="I71" s="118">
        <v>0</v>
      </c>
      <c r="J71" s="118">
        <v>0</v>
      </c>
      <c r="K71" s="118">
        <v>0</v>
      </c>
      <c r="L71" s="118">
        <v>0</v>
      </c>
      <c r="M71" s="118">
        <v>0</v>
      </c>
      <c r="N71" s="118">
        <v>0</v>
      </c>
      <c r="O71" s="118">
        <v>0</v>
      </c>
      <c r="P71" s="118">
        <v>1E-3</v>
      </c>
      <c r="Q71" s="118">
        <v>2E-3</v>
      </c>
      <c r="R71" s="118">
        <v>2E-3</v>
      </c>
      <c r="S71" s="118">
        <v>2E-3</v>
      </c>
      <c r="T71" s="118">
        <v>2E-3</v>
      </c>
      <c r="U71" s="118">
        <v>3.0000000000000001E-3</v>
      </c>
      <c r="V71" s="118">
        <v>3.0000000000000001E-3</v>
      </c>
      <c r="W71" s="118">
        <v>6.0000000000000001E-3</v>
      </c>
      <c r="X71" s="118">
        <v>8.9999999999999993E-3</v>
      </c>
      <c r="Y71" s="118">
        <v>3.0000000000000001E-3</v>
      </c>
      <c r="Z71" s="118">
        <v>3.0000000000000001E-3</v>
      </c>
      <c r="AA71" s="118">
        <v>4.0000000000000001E-3</v>
      </c>
      <c r="AB71" s="14"/>
    </row>
    <row r="72" spans="2:28">
      <c r="B72" s="13"/>
      <c r="C72" s="84" t="s">
        <v>288</v>
      </c>
      <c r="D72" s="84" t="s">
        <v>4</v>
      </c>
      <c r="E72" s="84" t="s">
        <v>82</v>
      </c>
      <c r="F72" s="84" t="s">
        <v>14</v>
      </c>
      <c r="G72" s="118">
        <v>1.0309999999999999</v>
      </c>
      <c r="H72" s="118">
        <v>1.0269999999999999</v>
      </c>
      <c r="I72" s="118">
        <v>1.087</v>
      </c>
      <c r="J72" s="118">
        <v>1.1100000000000001</v>
      </c>
      <c r="K72" s="118">
        <v>1.165</v>
      </c>
      <c r="L72" s="118">
        <v>1.2230000000000001</v>
      </c>
      <c r="M72" s="118">
        <v>1.2729999999999999</v>
      </c>
      <c r="N72" s="118">
        <v>1.3009999999999999</v>
      </c>
      <c r="O72" s="118">
        <v>1.3240000000000001</v>
      </c>
      <c r="P72" s="118">
        <v>1.242</v>
      </c>
      <c r="Q72" s="118">
        <v>1.37</v>
      </c>
      <c r="R72" s="118">
        <v>1.419</v>
      </c>
      <c r="S72" s="118">
        <v>1.5189999999999999</v>
      </c>
      <c r="T72" s="118">
        <v>1.585</v>
      </c>
      <c r="U72" s="118">
        <v>1.603</v>
      </c>
      <c r="V72" s="118">
        <v>1.613</v>
      </c>
      <c r="W72" s="118">
        <v>1.66</v>
      </c>
      <c r="X72" s="118">
        <v>1.716</v>
      </c>
      <c r="Y72" s="118">
        <v>1.67</v>
      </c>
      <c r="Z72" s="118">
        <v>1.6679999999999999</v>
      </c>
      <c r="AA72" s="118">
        <v>1.6060000000000001</v>
      </c>
      <c r="AB72" s="14"/>
    </row>
    <row r="73" spans="2:28">
      <c r="B73" s="13"/>
      <c r="C73" s="84" t="s">
        <v>288</v>
      </c>
      <c r="D73" s="84" t="s">
        <v>4</v>
      </c>
      <c r="E73" s="84" t="s">
        <v>83</v>
      </c>
      <c r="F73" s="84" t="s">
        <v>31</v>
      </c>
      <c r="G73" s="118">
        <v>0.29099999999999998</v>
      </c>
      <c r="H73" s="118">
        <v>0.28000000000000003</v>
      </c>
      <c r="I73" s="118">
        <v>0.29199999999999998</v>
      </c>
      <c r="J73" s="118">
        <v>0.30099999999999999</v>
      </c>
      <c r="K73" s="118">
        <v>0.29499999999999998</v>
      </c>
      <c r="L73" s="118">
        <v>0.32700000000000001</v>
      </c>
      <c r="M73" s="118">
        <v>0.34</v>
      </c>
      <c r="N73" s="118">
        <v>0.315</v>
      </c>
      <c r="O73" s="118">
        <v>0.33700000000000002</v>
      </c>
      <c r="P73" s="118">
        <v>0.32800000000000001</v>
      </c>
      <c r="Q73" s="118">
        <v>0.36299999999999999</v>
      </c>
      <c r="R73" s="118">
        <v>0.36699999999999999</v>
      </c>
      <c r="S73" s="118">
        <v>0.377</v>
      </c>
      <c r="T73" s="118">
        <v>0.41799999999999998</v>
      </c>
      <c r="U73" s="118">
        <v>0.434</v>
      </c>
      <c r="V73" s="118">
        <v>0.45500000000000002</v>
      </c>
      <c r="W73" s="118">
        <v>0.45700000000000002</v>
      </c>
      <c r="X73" s="118">
        <v>0.44800000000000001</v>
      </c>
      <c r="Y73" s="118">
        <v>0.438</v>
      </c>
      <c r="Z73" s="118">
        <v>0.48199999999999998</v>
      </c>
      <c r="AA73" s="118">
        <v>0.51200000000000001</v>
      </c>
      <c r="AB73" s="14"/>
    </row>
    <row r="74" spans="2:28">
      <c r="B74" s="13"/>
      <c r="C74" s="84" t="s">
        <v>288</v>
      </c>
      <c r="D74" s="84" t="s">
        <v>4</v>
      </c>
      <c r="E74" s="84" t="s">
        <v>84</v>
      </c>
      <c r="F74" s="84" t="s">
        <v>32</v>
      </c>
      <c r="G74" s="118">
        <v>0.19800000000000001</v>
      </c>
      <c r="H74" s="118">
        <v>0.19500000000000001</v>
      </c>
      <c r="I74" s="118">
        <v>0.218</v>
      </c>
      <c r="J74" s="118">
        <v>0.224</v>
      </c>
      <c r="K74" s="118">
        <v>0.24399999999999999</v>
      </c>
      <c r="L74" s="118">
        <v>0.249</v>
      </c>
      <c r="M74" s="118">
        <v>0.255</v>
      </c>
      <c r="N74" s="118">
        <v>0.26300000000000001</v>
      </c>
      <c r="O74" s="118">
        <v>0.27</v>
      </c>
      <c r="P74" s="118">
        <v>0.23799999999999999</v>
      </c>
      <c r="Q74" s="118">
        <v>0.27200000000000002</v>
      </c>
      <c r="R74" s="118">
        <v>0.30299999999999999</v>
      </c>
      <c r="S74" s="118">
        <v>0.316</v>
      </c>
      <c r="T74" s="118">
        <v>0.30499999999999999</v>
      </c>
      <c r="U74" s="118">
        <v>0.30199999999999999</v>
      </c>
      <c r="V74" s="118">
        <v>0.27500000000000002</v>
      </c>
      <c r="W74" s="118">
        <v>0.27800000000000002</v>
      </c>
      <c r="X74" s="118">
        <v>0.29299999999999998</v>
      </c>
      <c r="Y74" s="118">
        <v>0.28599999999999998</v>
      </c>
      <c r="Z74" s="118">
        <v>0.29099999999999998</v>
      </c>
      <c r="AA74" s="118">
        <v>0.27</v>
      </c>
      <c r="AB74" s="14"/>
    </row>
    <row r="75" spans="2:28">
      <c r="B75" s="13"/>
      <c r="C75" s="84" t="s">
        <v>288</v>
      </c>
      <c r="D75" s="84" t="s">
        <v>4</v>
      </c>
      <c r="E75" s="84" t="s">
        <v>85</v>
      </c>
      <c r="F75" s="84" t="s">
        <v>33</v>
      </c>
      <c r="G75" s="118">
        <v>0.155</v>
      </c>
      <c r="H75" s="118">
        <v>0.156</v>
      </c>
      <c r="I75" s="118">
        <v>0.161</v>
      </c>
      <c r="J75" s="118">
        <v>0.16400000000000001</v>
      </c>
      <c r="K75" s="118">
        <v>0.16800000000000001</v>
      </c>
      <c r="L75" s="118">
        <v>0.17899999999999999</v>
      </c>
      <c r="M75" s="118">
        <v>0.17100000000000001</v>
      </c>
      <c r="N75" s="118">
        <v>0.17100000000000001</v>
      </c>
      <c r="O75" s="118">
        <v>0.17</v>
      </c>
      <c r="P75" s="118">
        <v>0.153</v>
      </c>
      <c r="Q75" s="118">
        <v>0.17899999999999999</v>
      </c>
      <c r="R75" s="118">
        <v>0.183</v>
      </c>
      <c r="S75" s="118">
        <v>0.20300000000000001</v>
      </c>
      <c r="T75" s="118">
        <v>0.218</v>
      </c>
      <c r="U75" s="118">
        <v>0.23</v>
      </c>
      <c r="V75" s="118">
        <v>0.23200000000000001</v>
      </c>
      <c r="W75" s="118">
        <v>0.23200000000000001</v>
      </c>
      <c r="X75" s="118">
        <v>0.23300000000000001</v>
      </c>
      <c r="Y75" s="118">
        <v>0.22800000000000001</v>
      </c>
      <c r="Z75" s="118">
        <v>0.21199999999999999</v>
      </c>
      <c r="AA75" s="118">
        <v>0.2</v>
      </c>
      <c r="AB75" s="14"/>
    </row>
    <row r="76" spans="2:28">
      <c r="B76" s="13"/>
      <c r="C76" s="84" t="s">
        <v>288</v>
      </c>
      <c r="D76" s="84" t="s">
        <v>4</v>
      </c>
      <c r="E76" s="84" t="s">
        <v>86</v>
      </c>
      <c r="F76" s="84" t="s">
        <v>34</v>
      </c>
      <c r="G76" s="118">
        <v>0.29799999999999999</v>
      </c>
      <c r="H76" s="118">
        <v>0.30099999999999999</v>
      </c>
      <c r="I76" s="118">
        <v>0.316</v>
      </c>
      <c r="J76" s="118">
        <v>0.33100000000000002</v>
      </c>
      <c r="K76" s="118">
        <v>0.36</v>
      </c>
      <c r="L76" s="118">
        <v>0.373</v>
      </c>
      <c r="M76" s="118">
        <v>0.40799999999999997</v>
      </c>
      <c r="N76" s="118">
        <v>0.44800000000000001</v>
      </c>
      <c r="O76" s="118">
        <v>0.442</v>
      </c>
      <c r="P76" s="118">
        <v>0.42799999999999999</v>
      </c>
      <c r="Q76" s="118">
        <v>0.44700000000000001</v>
      </c>
      <c r="R76" s="118">
        <v>0.45300000000000001</v>
      </c>
      <c r="S76" s="118">
        <v>0.51</v>
      </c>
      <c r="T76" s="118">
        <v>0.52400000000000002</v>
      </c>
      <c r="U76" s="118">
        <v>0.51200000000000001</v>
      </c>
      <c r="V76" s="118">
        <v>0.53</v>
      </c>
      <c r="W76" s="118">
        <v>0.56999999999999995</v>
      </c>
      <c r="X76" s="118">
        <v>0.60799999999999998</v>
      </c>
      <c r="Y76" s="118">
        <v>0.58599999999999997</v>
      </c>
      <c r="Z76" s="118">
        <v>0.55100000000000005</v>
      </c>
      <c r="AA76" s="118">
        <v>0.497</v>
      </c>
      <c r="AB76" s="14"/>
    </row>
    <row r="77" spans="2:28">
      <c r="B77" s="13"/>
      <c r="C77" s="84" t="s">
        <v>288</v>
      </c>
      <c r="D77" s="84" t="s">
        <v>4</v>
      </c>
      <c r="E77" s="84" t="s">
        <v>87</v>
      </c>
      <c r="F77" s="84" t="s">
        <v>35</v>
      </c>
      <c r="G77" s="118">
        <v>0.09</v>
      </c>
      <c r="H77" s="118">
        <v>9.6000000000000002E-2</v>
      </c>
      <c r="I77" s="118">
        <v>9.9000000000000005E-2</v>
      </c>
      <c r="J77" s="118">
        <v>0.09</v>
      </c>
      <c r="K77" s="118">
        <v>9.8000000000000004E-2</v>
      </c>
      <c r="L77" s="118">
        <v>9.5000000000000001E-2</v>
      </c>
      <c r="M77" s="118">
        <v>9.9000000000000005E-2</v>
      </c>
      <c r="N77" s="118">
        <v>0.10199999999999999</v>
      </c>
      <c r="O77" s="118">
        <v>0.105</v>
      </c>
      <c r="P77" s="118">
        <v>9.4E-2</v>
      </c>
      <c r="Q77" s="118">
        <v>0.108</v>
      </c>
      <c r="R77" s="118">
        <v>0.111</v>
      </c>
      <c r="S77" s="118">
        <v>0.113</v>
      </c>
      <c r="T77" s="118">
        <v>0.11799999999999999</v>
      </c>
      <c r="U77" s="118">
        <v>0.123</v>
      </c>
      <c r="V77" s="118">
        <v>0.121</v>
      </c>
      <c r="W77" s="118">
        <v>0.122</v>
      </c>
      <c r="X77" s="118">
        <v>0.13200000000000001</v>
      </c>
      <c r="Y77" s="118">
        <v>0.13100000000000001</v>
      </c>
      <c r="Z77" s="118">
        <v>0.13200000000000001</v>
      </c>
      <c r="AA77" s="118">
        <v>0.126</v>
      </c>
      <c r="AB77" s="14"/>
    </row>
    <row r="78" spans="2:28">
      <c r="B78" s="13"/>
      <c r="C78" s="84" t="s">
        <v>288</v>
      </c>
      <c r="D78" s="84" t="s">
        <v>4</v>
      </c>
      <c r="E78" s="84" t="s">
        <v>88</v>
      </c>
      <c r="F78" s="84" t="s">
        <v>37</v>
      </c>
      <c r="G78" s="118">
        <v>0</v>
      </c>
      <c r="H78" s="118">
        <v>0</v>
      </c>
      <c r="I78" s="118">
        <v>0</v>
      </c>
      <c r="J78" s="118">
        <v>0</v>
      </c>
      <c r="K78" s="118">
        <v>0</v>
      </c>
      <c r="L78" s="118">
        <v>0</v>
      </c>
      <c r="M78" s="118">
        <v>0</v>
      </c>
      <c r="N78" s="118">
        <v>0</v>
      </c>
      <c r="O78" s="118">
        <v>0</v>
      </c>
      <c r="P78" s="118">
        <v>0</v>
      </c>
      <c r="Q78" s="118">
        <v>1E-3</v>
      </c>
      <c r="R78" s="118">
        <v>1E-3</v>
      </c>
      <c r="S78" s="118">
        <v>1E-3</v>
      </c>
      <c r="T78" s="118">
        <v>1E-3</v>
      </c>
      <c r="U78" s="118">
        <v>1E-3</v>
      </c>
      <c r="V78" s="118">
        <v>1E-3</v>
      </c>
      <c r="W78" s="118">
        <v>1E-3</v>
      </c>
      <c r="X78" s="118">
        <v>1E-3</v>
      </c>
      <c r="Y78" s="118">
        <v>1E-3</v>
      </c>
      <c r="Z78" s="118">
        <v>1E-3</v>
      </c>
      <c r="AA78" s="118">
        <v>1E-3</v>
      </c>
      <c r="AB78" s="14"/>
    </row>
    <row r="79" spans="2:28">
      <c r="B79" s="13"/>
      <c r="C79" s="120" t="s">
        <v>72</v>
      </c>
      <c r="D79" s="120" t="s">
        <v>109</v>
      </c>
      <c r="E79" s="120" t="s">
        <v>82</v>
      </c>
      <c r="F79" s="120" t="s">
        <v>14</v>
      </c>
      <c r="G79" s="118">
        <v>15.377000000000001</v>
      </c>
      <c r="H79" s="118">
        <v>15.414999999999999</v>
      </c>
      <c r="I79" s="118">
        <v>15.52</v>
      </c>
      <c r="J79" s="118">
        <v>15.617000000000001</v>
      </c>
      <c r="K79" s="118">
        <v>16.28</v>
      </c>
      <c r="L79" s="118">
        <v>16.356999999999999</v>
      </c>
      <c r="M79" s="118">
        <v>16.702999999999999</v>
      </c>
      <c r="N79" s="118">
        <v>17.274999999999999</v>
      </c>
      <c r="O79" s="118">
        <v>16.890999999999998</v>
      </c>
      <c r="P79" s="118">
        <v>14.794</v>
      </c>
      <c r="Q79" s="118">
        <v>14.337999999999999</v>
      </c>
      <c r="R79" s="118">
        <v>15.122</v>
      </c>
      <c r="S79" s="118">
        <v>13.933999999999999</v>
      </c>
      <c r="T79" s="118">
        <v>13.545999999999999</v>
      </c>
      <c r="U79" s="118">
        <v>13.65</v>
      </c>
      <c r="V79" s="118">
        <v>13.603</v>
      </c>
      <c r="W79" s="118">
        <v>13.553000000000001</v>
      </c>
      <c r="X79" s="118">
        <v>13.973000000000001</v>
      </c>
      <c r="Y79" s="118">
        <v>14.154999999999999</v>
      </c>
      <c r="Z79" s="118">
        <v>14.051</v>
      </c>
      <c r="AA79" s="118">
        <v>13.359</v>
      </c>
      <c r="AB79" s="14"/>
    </row>
    <row r="80" spans="2:28">
      <c r="B80" s="13"/>
      <c r="C80" s="120" t="s">
        <v>72</v>
      </c>
      <c r="D80" s="120" t="s">
        <v>109</v>
      </c>
      <c r="E80" s="120" t="s">
        <v>83</v>
      </c>
      <c r="F80" s="120" t="s">
        <v>31</v>
      </c>
      <c r="G80" s="118">
        <v>3.488</v>
      </c>
      <c r="H80" s="118">
        <v>3.456</v>
      </c>
      <c r="I80" s="118">
        <v>3.4590000000000001</v>
      </c>
      <c r="J80" s="118">
        <v>3.1890000000000001</v>
      </c>
      <c r="K80" s="118">
        <v>3.633</v>
      </c>
      <c r="L80" s="118">
        <v>3.444</v>
      </c>
      <c r="M80" s="118">
        <v>3.2490000000000001</v>
      </c>
      <c r="N80" s="118">
        <v>3.4039999999999999</v>
      </c>
      <c r="O80" s="118">
        <v>3.4580000000000002</v>
      </c>
      <c r="P80" s="118">
        <v>3.3260000000000001</v>
      </c>
      <c r="Q80" s="118">
        <v>3.2240000000000002</v>
      </c>
      <c r="R80" s="118">
        <v>3.3980000000000001</v>
      </c>
      <c r="S80" s="118">
        <v>3.246</v>
      </c>
      <c r="T80" s="118">
        <v>3.3069999999999999</v>
      </c>
      <c r="U80" s="118">
        <v>3.5390000000000001</v>
      </c>
      <c r="V80" s="118">
        <v>3.2679999999999998</v>
      </c>
      <c r="W80" s="118">
        <v>3.3290000000000002</v>
      </c>
      <c r="X80" s="118">
        <v>3.4409999999999998</v>
      </c>
      <c r="Y80" s="118">
        <v>3.3420000000000001</v>
      </c>
      <c r="Z80" s="118">
        <v>3.2989999999999999</v>
      </c>
      <c r="AA80" s="118">
        <v>3.258</v>
      </c>
      <c r="AB80" s="14"/>
    </row>
    <row r="81" spans="2:28">
      <c r="B81" s="13"/>
      <c r="C81" s="120" t="s">
        <v>72</v>
      </c>
      <c r="D81" s="120" t="s">
        <v>109</v>
      </c>
      <c r="E81" s="120" t="s">
        <v>84</v>
      </c>
      <c r="F81" s="120" t="s">
        <v>32</v>
      </c>
      <c r="G81" s="118">
        <v>0.70899999999999996</v>
      </c>
      <c r="H81" s="118">
        <v>0.66800000000000004</v>
      </c>
      <c r="I81" s="118">
        <v>0.63600000000000001</v>
      </c>
      <c r="J81" s="118">
        <v>0.66200000000000003</v>
      </c>
      <c r="K81" s="118">
        <v>0.69799999999999995</v>
      </c>
      <c r="L81" s="118">
        <v>0.71199999999999997</v>
      </c>
      <c r="M81" s="118">
        <v>0.72499999999999998</v>
      </c>
      <c r="N81" s="118">
        <v>0.72199999999999998</v>
      </c>
      <c r="O81" s="118">
        <v>0.69</v>
      </c>
      <c r="P81" s="118">
        <v>0.45300000000000001</v>
      </c>
      <c r="Q81" s="118">
        <v>0.61699999999999999</v>
      </c>
      <c r="R81" s="118">
        <v>0.629</v>
      </c>
      <c r="S81" s="118">
        <v>0.58899999999999997</v>
      </c>
      <c r="T81" s="118">
        <v>0.69099999999999995</v>
      </c>
      <c r="U81" s="118">
        <v>0.65200000000000002</v>
      </c>
      <c r="V81" s="118">
        <v>0.70399999999999996</v>
      </c>
      <c r="W81" s="118">
        <v>0.72499999999999998</v>
      </c>
      <c r="X81" s="118">
        <v>0.73299999999999998</v>
      </c>
      <c r="Y81" s="118">
        <v>0.78400000000000003</v>
      </c>
      <c r="Z81" s="118">
        <v>0.746</v>
      </c>
      <c r="AA81" s="118">
        <v>0.69699999999999995</v>
      </c>
      <c r="AB81" s="14"/>
    </row>
    <row r="82" spans="2:28">
      <c r="B82" s="13"/>
      <c r="C82" s="120" t="s">
        <v>72</v>
      </c>
      <c r="D82" s="120" t="s">
        <v>109</v>
      </c>
      <c r="E82" s="120" t="s">
        <v>85</v>
      </c>
      <c r="F82" s="120" t="s">
        <v>33</v>
      </c>
      <c r="G82" s="118">
        <v>7.4039999999999999</v>
      </c>
      <c r="H82" s="118">
        <v>7.5449999999999999</v>
      </c>
      <c r="I82" s="118">
        <v>7.5869999999999997</v>
      </c>
      <c r="J82" s="118">
        <v>7.8049999999999997</v>
      </c>
      <c r="K82" s="118">
        <v>7.9909999999999997</v>
      </c>
      <c r="L82" s="118">
        <v>8.2840000000000007</v>
      </c>
      <c r="M82" s="118">
        <v>8.8119999999999994</v>
      </c>
      <c r="N82" s="118">
        <v>9.3330000000000002</v>
      </c>
      <c r="O82" s="118">
        <v>8.9600000000000009</v>
      </c>
      <c r="P82" s="118">
        <v>7.5330000000000004</v>
      </c>
      <c r="Q82" s="118">
        <v>6.9950000000000001</v>
      </c>
      <c r="R82" s="118">
        <v>7.548</v>
      </c>
      <c r="S82" s="118">
        <v>6.6449999999999996</v>
      </c>
      <c r="T82" s="118">
        <v>6.2409999999999997</v>
      </c>
      <c r="U82" s="118">
        <v>6.2439999999999998</v>
      </c>
      <c r="V82" s="118">
        <v>6.3659999999999997</v>
      </c>
      <c r="W82" s="118">
        <v>6.3479999999999999</v>
      </c>
      <c r="X82" s="118">
        <v>6.6520000000000001</v>
      </c>
      <c r="Y82" s="118">
        <v>6.8819999999999997</v>
      </c>
      <c r="Z82" s="118">
        <v>7.0739999999999998</v>
      </c>
      <c r="AA82" s="118">
        <v>6.9130000000000003</v>
      </c>
      <c r="AB82" s="14"/>
    </row>
    <row r="83" spans="2:28">
      <c r="B83" s="13"/>
      <c r="C83" s="120" t="s">
        <v>72</v>
      </c>
      <c r="D83" s="120" t="s">
        <v>109</v>
      </c>
      <c r="E83" s="120" t="s">
        <v>86</v>
      </c>
      <c r="F83" s="120" t="s">
        <v>34</v>
      </c>
      <c r="G83" s="118">
        <v>3.7879999999999998</v>
      </c>
      <c r="H83" s="118">
        <v>3.7690000000000001</v>
      </c>
      <c r="I83" s="118">
        <v>3.8519999999999999</v>
      </c>
      <c r="J83" s="118">
        <v>3.956</v>
      </c>
      <c r="K83" s="118">
        <v>3.944</v>
      </c>
      <c r="L83" s="118">
        <v>3.915</v>
      </c>
      <c r="M83" s="118">
        <v>3.9169999999999998</v>
      </c>
      <c r="N83" s="118">
        <v>3.8079999999999998</v>
      </c>
      <c r="O83" s="118">
        <v>3.774</v>
      </c>
      <c r="P83" s="118">
        <v>3.476</v>
      </c>
      <c r="Q83" s="118">
        <v>3.5</v>
      </c>
      <c r="R83" s="118">
        <v>3.544</v>
      </c>
      <c r="S83" s="118">
        <v>3.4620000000000002</v>
      </c>
      <c r="T83" s="118">
        <v>3.3090000000000002</v>
      </c>
      <c r="U83" s="118">
        <v>3.2170000000000001</v>
      </c>
      <c r="V83" s="118">
        <v>3.266</v>
      </c>
      <c r="W83" s="118">
        <v>3.145</v>
      </c>
      <c r="X83" s="118">
        <v>3.1379999999999999</v>
      </c>
      <c r="Y83" s="118">
        <v>3.1269999999999998</v>
      </c>
      <c r="Z83" s="118">
        <v>2.899</v>
      </c>
      <c r="AA83" s="118">
        <v>2.4630000000000001</v>
      </c>
      <c r="AB83" s="14"/>
    </row>
    <row r="84" spans="2:28">
      <c r="B84" s="13"/>
      <c r="C84" s="120" t="s">
        <v>72</v>
      </c>
      <c r="D84" s="120" t="s">
        <v>109</v>
      </c>
      <c r="E84" s="120" t="s">
        <v>87</v>
      </c>
      <c r="F84" s="120" t="s">
        <v>35</v>
      </c>
      <c r="G84" s="118">
        <v>-1.2999999999999999E-2</v>
      </c>
      <c r="H84" s="118">
        <v>-2.3E-2</v>
      </c>
      <c r="I84" s="118">
        <v>-1.4999999999999999E-2</v>
      </c>
      <c r="J84" s="118">
        <v>5.0000000000000001E-3</v>
      </c>
      <c r="K84" s="118">
        <v>1.4E-2</v>
      </c>
      <c r="L84" s="118">
        <v>2E-3</v>
      </c>
      <c r="M84" s="118">
        <v>0</v>
      </c>
      <c r="N84" s="118">
        <v>8.0000000000000002E-3</v>
      </c>
      <c r="O84" s="118">
        <v>8.9999999999999993E-3</v>
      </c>
      <c r="P84" s="118">
        <v>4.0000000000000001E-3</v>
      </c>
      <c r="Q84" s="118">
        <v>2E-3</v>
      </c>
      <c r="R84" s="118">
        <v>1E-3</v>
      </c>
      <c r="S84" s="118">
        <v>-7.0000000000000001E-3</v>
      </c>
      <c r="T84" s="118">
        <v>-2E-3</v>
      </c>
      <c r="U84" s="118">
        <v>-4.0000000000000001E-3</v>
      </c>
      <c r="V84" s="118">
        <v>-3.0000000000000001E-3</v>
      </c>
      <c r="W84" s="118">
        <v>2E-3</v>
      </c>
      <c r="X84" s="118">
        <v>1E-3</v>
      </c>
      <c r="Y84" s="118">
        <v>1.7000000000000001E-2</v>
      </c>
      <c r="Z84" s="118">
        <v>3.2000000000000001E-2</v>
      </c>
      <c r="AA84" s="118">
        <v>2.5999999999999999E-2</v>
      </c>
      <c r="AB84" s="14"/>
    </row>
    <row r="85" spans="2:28">
      <c r="B85" s="13"/>
      <c r="C85" s="120" t="s">
        <v>72</v>
      </c>
      <c r="D85" s="120" t="s">
        <v>109</v>
      </c>
      <c r="E85" s="120" t="s">
        <v>88</v>
      </c>
      <c r="F85" s="120" t="s">
        <v>37</v>
      </c>
      <c r="G85" s="118">
        <v>0</v>
      </c>
      <c r="H85" s="118">
        <v>0</v>
      </c>
      <c r="I85" s="118">
        <v>0</v>
      </c>
      <c r="J85" s="118">
        <v>0</v>
      </c>
      <c r="K85" s="118">
        <v>0</v>
      </c>
      <c r="L85" s="118">
        <v>0</v>
      </c>
      <c r="M85" s="118">
        <v>0</v>
      </c>
      <c r="N85" s="118">
        <v>0</v>
      </c>
      <c r="O85" s="118">
        <v>0</v>
      </c>
      <c r="P85" s="118">
        <v>1E-3</v>
      </c>
      <c r="Q85" s="118">
        <v>1E-3</v>
      </c>
      <c r="R85" s="118">
        <v>0</v>
      </c>
      <c r="S85" s="118">
        <v>0</v>
      </c>
      <c r="T85" s="118">
        <v>1E-3</v>
      </c>
      <c r="U85" s="118">
        <v>1E-3</v>
      </c>
      <c r="V85" s="118">
        <v>1E-3</v>
      </c>
      <c r="W85" s="118">
        <v>5.0000000000000001E-3</v>
      </c>
      <c r="X85" s="118">
        <v>8.0000000000000002E-3</v>
      </c>
      <c r="Y85" s="118">
        <v>2E-3</v>
      </c>
      <c r="Z85" s="118">
        <v>2E-3</v>
      </c>
      <c r="AA85" s="118">
        <v>2E-3</v>
      </c>
      <c r="AB85" s="14"/>
    </row>
    <row r="86" spans="2:28">
      <c r="B86" s="13"/>
      <c r="C86" s="120" t="s">
        <v>81</v>
      </c>
      <c r="D86" s="120" t="s">
        <v>110</v>
      </c>
      <c r="E86" s="120" t="s">
        <v>82</v>
      </c>
      <c r="F86" s="120" t="s">
        <v>14</v>
      </c>
      <c r="G86" s="118">
        <v>16.408000000000001</v>
      </c>
      <c r="H86" s="118">
        <v>16.442</v>
      </c>
      <c r="I86" s="118">
        <v>16.606999999999999</v>
      </c>
      <c r="J86" s="118">
        <v>16.728000000000002</v>
      </c>
      <c r="K86" s="118">
        <v>17.445</v>
      </c>
      <c r="L86" s="118">
        <v>17.579999999999998</v>
      </c>
      <c r="M86" s="118">
        <v>17.975999999999999</v>
      </c>
      <c r="N86" s="118">
        <v>18.574999999999999</v>
      </c>
      <c r="O86" s="118">
        <v>18.215</v>
      </c>
      <c r="P86" s="118">
        <v>16.036000000000001</v>
      </c>
      <c r="Q86" s="118">
        <v>15.708</v>
      </c>
      <c r="R86" s="118">
        <v>16.54</v>
      </c>
      <c r="S86" s="118">
        <v>15.454000000000001</v>
      </c>
      <c r="T86" s="118">
        <v>15.131</v>
      </c>
      <c r="U86" s="118">
        <v>15.252000000000001</v>
      </c>
      <c r="V86" s="118">
        <v>15.215999999999999</v>
      </c>
      <c r="W86" s="118">
        <v>15.212999999999999</v>
      </c>
      <c r="X86" s="118">
        <v>15.689</v>
      </c>
      <c r="Y86" s="118">
        <v>15.824999999999999</v>
      </c>
      <c r="Z86" s="118">
        <v>15.718999999999999</v>
      </c>
      <c r="AA86" s="118">
        <v>14.965</v>
      </c>
      <c r="AB86" s="14"/>
    </row>
    <row r="87" spans="2:28">
      <c r="B87" s="13"/>
      <c r="C87" s="120" t="s">
        <v>81</v>
      </c>
      <c r="D87" s="120" t="s">
        <v>110</v>
      </c>
      <c r="E87" s="120" t="s">
        <v>83</v>
      </c>
      <c r="F87" s="120" t="s">
        <v>31</v>
      </c>
      <c r="G87" s="118">
        <v>3.7789999999999999</v>
      </c>
      <c r="H87" s="118">
        <v>3.7360000000000002</v>
      </c>
      <c r="I87" s="118">
        <v>3.7519999999999998</v>
      </c>
      <c r="J87" s="118">
        <v>3.49</v>
      </c>
      <c r="K87" s="118">
        <v>3.9279999999999999</v>
      </c>
      <c r="L87" s="118">
        <v>3.7709999999999999</v>
      </c>
      <c r="M87" s="118">
        <v>3.589</v>
      </c>
      <c r="N87" s="118">
        <v>3.7189999999999999</v>
      </c>
      <c r="O87" s="118">
        <v>3.794</v>
      </c>
      <c r="P87" s="118">
        <v>3.6549999999999998</v>
      </c>
      <c r="Q87" s="118">
        <v>3.5870000000000002</v>
      </c>
      <c r="R87" s="118">
        <v>3.7650000000000001</v>
      </c>
      <c r="S87" s="118">
        <v>3.6219999999999999</v>
      </c>
      <c r="T87" s="118">
        <v>3.7240000000000002</v>
      </c>
      <c r="U87" s="118">
        <v>3.9729999999999999</v>
      </c>
      <c r="V87" s="118">
        <v>3.722</v>
      </c>
      <c r="W87" s="118">
        <v>3.786</v>
      </c>
      <c r="X87" s="118">
        <v>3.8889999999999998</v>
      </c>
      <c r="Y87" s="118">
        <v>3.78</v>
      </c>
      <c r="Z87" s="118">
        <v>3.78</v>
      </c>
      <c r="AA87" s="118">
        <v>3.77</v>
      </c>
      <c r="AB87" s="14"/>
    </row>
    <row r="88" spans="2:28">
      <c r="B88" s="13"/>
      <c r="C88" s="120" t="s">
        <v>81</v>
      </c>
      <c r="D88" s="120" t="s">
        <v>110</v>
      </c>
      <c r="E88" s="120" t="s">
        <v>84</v>
      </c>
      <c r="F88" s="120" t="s">
        <v>32</v>
      </c>
      <c r="G88" s="118">
        <v>0.90700000000000003</v>
      </c>
      <c r="H88" s="118">
        <v>0.86299999999999999</v>
      </c>
      <c r="I88" s="118">
        <v>0.85399999999999998</v>
      </c>
      <c r="J88" s="118">
        <v>0.88600000000000001</v>
      </c>
      <c r="K88" s="118">
        <v>0.94299999999999995</v>
      </c>
      <c r="L88" s="118">
        <v>0.96</v>
      </c>
      <c r="M88" s="118">
        <v>0.98</v>
      </c>
      <c r="N88" s="118">
        <v>0.98499999999999999</v>
      </c>
      <c r="O88" s="118">
        <v>0.96</v>
      </c>
      <c r="P88" s="118">
        <v>0.69099999999999995</v>
      </c>
      <c r="Q88" s="118">
        <v>0.88900000000000001</v>
      </c>
      <c r="R88" s="118">
        <v>0.93200000000000005</v>
      </c>
      <c r="S88" s="118">
        <v>0.90400000000000003</v>
      </c>
      <c r="T88" s="118">
        <v>0.995</v>
      </c>
      <c r="U88" s="118">
        <v>0.95399999999999996</v>
      </c>
      <c r="V88" s="118">
        <v>0.97899999999999998</v>
      </c>
      <c r="W88" s="118">
        <v>1.0029999999999999</v>
      </c>
      <c r="X88" s="118">
        <v>1.0249999999999999</v>
      </c>
      <c r="Y88" s="118">
        <v>1.07</v>
      </c>
      <c r="Z88" s="118">
        <v>1.0369999999999999</v>
      </c>
      <c r="AA88" s="118">
        <v>0.96699999999999997</v>
      </c>
      <c r="AB88" s="14"/>
    </row>
    <row r="89" spans="2:28">
      <c r="B89" s="13"/>
      <c r="C89" s="120" t="s">
        <v>81</v>
      </c>
      <c r="D89" s="120" t="s">
        <v>110</v>
      </c>
      <c r="E89" s="120" t="s">
        <v>85</v>
      </c>
      <c r="F89" s="120" t="s">
        <v>33</v>
      </c>
      <c r="G89" s="118">
        <v>7.5590000000000002</v>
      </c>
      <c r="H89" s="118">
        <v>7.7009999999999996</v>
      </c>
      <c r="I89" s="118">
        <v>7.7480000000000002</v>
      </c>
      <c r="J89" s="118">
        <v>7.9690000000000003</v>
      </c>
      <c r="K89" s="118">
        <v>8.1590000000000007</v>
      </c>
      <c r="L89" s="118">
        <v>8.4629999999999992</v>
      </c>
      <c r="M89" s="118">
        <v>8.9830000000000005</v>
      </c>
      <c r="N89" s="118">
        <v>9.5050000000000008</v>
      </c>
      <c r="O89" s="118">
        <v>9.1300000000000008</v>
      </c>
      <c r="P89" s="118">
        <v>7.6859999999999999</v>
      </c>
      <c r="Q89" s="118">
        <v>7.1740000000000004</v>
      </c>
      <c r="R89" s="118">
        <v>7.7320000000000002</v>
      </c>
      <c r="S89" s="118">
        <v>6.8479999999999999</v>
      </c>
      <c r="T89" s="118">
        <v>6.46</v>
      </c>
      <c r="U89" s="118">
        <v>6.4749999999999996</v>
      </c>
      <c r="V89" s="118">
        <v>6.5979999999999999</v>
      </c>
      <c r="W89" s="118">
        <v>6.58</v>
      </c>
      <c r="X89" s="118">
        <v>6.8849999999999998</v>
      </c>
      <c r="Y89" s="118">
        <v>7.11</v>
      </c>
      <c r="Z89" s="118">
        <v>7.2859999999999996</v>
      </c>
      <c r="AA89" s="118">
        <v>7.1130000000000004</v>
      </c>
      <c r="AB89" s="14"/>
    </row>
    <row r="90" spans="2:28">
      <c r="B90" s="13"/>
      <c r="C90" s="120" t="s">
        <v>81</v>
      </c>
      <c r="D90" s="120" t="s">
        <v>110</v>
      </c>
      <c r="E90" s="120" t="s">
        <v>86</v>
      </c>
      <c r="F90" s="120" t="s">
        <v>34</v>
      </c>
      <c r="G90" s="118">
        <v>4.0869999999999997</v>
      </c>
      <c r="H90" s="118">
        <v>4.07</v>
      </c>
      <c r="I90" s="118">
        <v>4.1689999999999996</v>
      </c>
      <c r="J90" s="118">
        <v>4.2869999999999999</v>
      </c>
      <c r="K90" s="118">
        <v>4.3040000000000003</v>
      </c>
      <c r="L90" s="118">
        <v>4.2880000000000003</v>
      </c>
      <c r="M90" s="118">
        <v>4.3239999999999998</v>
      </c>
      <c r="N90" s="118">
        <v>4.2560000000000002</v>
      </c>
      <c r="O90" s="118">
        <v>4.2160000000000002</v>
      </c>
      <c r="P90" s="118">
        <v>3.9039999999999999</v>
      </c>
      <c r="Q90" s="118">
        <v>3.9470000000000001</v>
      </c>
      <c r="R90" s="118">
        <v>3.9980000000000002</v>
      </c>
      <c r="S90" s="118">
        <v>3.972</v>
      </c>
      <c r="T90" s="118">
        <v>3.8330000000000002</v>
      </c>
      <c r="U90" s="118">
        <v>3.7290000000000001</v>
      </c>
      <c r="V90" s="118">
        <v>3.7959999999999998</v>
      </c>
      <c r="W90" s="118">
        <v>3.7149999999999999</v>
      </c>
      <c r="X90" s="118">
        <v>3.7469999999999999</v>
      </c>
      <c r="Y90" s="118">
        <v>3.7130000000000001</v>
      </c>
      <c r="Z90" s="118">
        <v>3.45</v>
      </c>
      <c r="AA90" s="118">
        <v>2.9590000000000001</v>
      </c>
      <c r="AB90" s="14"/>
    </row>
    <row r="91" spans="2:28">
      <c r="B91" s="13"/>
      <c r="C91" s="120" t="s">
        <v>81</v>
      </c>
      <c r="D91" s="120" t="s">
        <v>110</v>
      </c>
      <c r="E91" s="120" t="s">
        <v>87</v>
      </c>
      <c r="F91" s="120" t="s">
        <v>35</v>
      </c>
      <c r="G91" s="118">
        <v>7.6999999999999999E-2</v>
      </c>
      <c r="H91" s="118">
        <v>7.2999999999999995E-2</v>
      </c>
      <c r="I91" s="118">
        <v>8.5000000000000006E-2</v>
      </c>
      <c r="J91" s="118">
        <v>9.5000000000000001E-2</v>
      </c>
      <c r="K91" s="118">
        <v>0.112</v>
      </c>
      <c r="L91" s="118">
        <v>9.7000000000000003E-2</v>
      </c>
      <c r="M91" s="118">
        <v>9.9000000000000005E-2</v>
      </c>
      <c r="N91" s="118">
        <v>0.11</v>
      </c>
      <c r="O91" s="118">
        <v>0.114</v>
      </c>
      <c r="P91" s="118">
        <v>9.8000000000000004E-2</v>
      </c>
      <c r="Q91" s="118">
        <v>0.109</v>
      </c>
      <c r="R91" s="118">
        <v>0.113</v>
      </c>
      <c r="S91" s="118">
        <v>0.106</v>
      </c>
      <c r="T91" s="118">
        <v>0.11700000000000001</v>
      </c>
      <c r="U91" s="118">
        <v>0.11899999999999999</v>
      </c>
      <c r="V91" s="118">
        <v>0.11799999999999999</v>
      </c>
      <c r="W91" s="118">
        <v>0.124</v>
      </c>
      <c r="X91" s="118">
        <v>0.13300000000000001</v>
      </c>
      <c r="Y91" s="118">
        <v>0.14799999999999999</v>
      </c>
      <c r="Z91" s="118">
        <v>0.16300000000000001</v>
      </c>
      <c r="AA91" s="118">
        <v>0.152</v>
      </c>
      <c r="AB91" s="14"/>
    </row>
    <row r="92" spans="2:28">
      <c r="B92" s="13"/>
      <c r="C92" s="120" t="s">
        <v>81</v>
      </c>
      <c r="D92" s="120" t="s">
        <v>110</v>
      </c>
      <c r="E92" s="120" t="s">
        <v>88</v>
      </c>
      <c r="F92" s="120" t="s">
        <v>37</v>
      </c>
      <c r="G92" s="118">
        <v>0</v>
      </c>
      <c r="H92" s="118">
        <v>0</v>
      </c>
      <c r="I92" s="118">
        <v>0</v>
      </c>
      <c r="J92" s="118">
        <v>0</v>
      </c>
      <c r="K92" s="118">
        <v>0</v>
      </c>
      <c r="L92" s="118">
        <v>0</v>
      </c>
      <c r="M92" s="118">
        <v>0</v>
      </c>
      <c r="N92" s="118">
        <v>0</v>
      </c>
      <c r="O92" s="118">
        <v>0</v>
      </c>
      <c r="P92" s="118">
        <v>1E-3</v>
      </c>
      <c r="Q92" s="118">
        <v>2E-3</v>
      </c>
      <c r="R92" s="118">
        <v>2E-3</v>
      </c>
      <c r="S92" s="118">
        <v>2E-3</v>
      </c>
      <c r="T92" s="118">
        <v>2E-3</v>
      </c>
      <c r="U92" s="118">
        <v>3.0000000000000001E-3</v>
      </c>
      <c r="V92" s="118">
        <v>3.0000000000000001E-3</v>
      </c>
      <c r="W92" s="118">
        <v>6.0000000000000001E-3</v>
      </c>
      <c r="X92" s="118">
        <v>8.9999999999999993E-3</v>
      </c>
      <c r="Y92" s="118">
        <v>3.0000000000000001E-3</v>
      </c>
      <c r="Z92" s="118">
        <v>3.0000000000000001E-3</v>
      </c>
      <c r="AA92" s="118">
        <v>4.0000000000000001E-3</v>
      </c>
      <c r="AB92" s="14"/>
    </row>
    <row r="93" spans="2:28">
      <c r="B93" s="13"/>
      <c r="C93" s="11"/>
      <c r="D93" s="11"/>
      <c r="E93" s="11"/>
      <c r="F93" s="11"/>
      <c r="G93" s="153"/>
      <c r="H93" s="153"/>
      <c r="I93" s="153"/>
      <c r="J93" s="153"/>
      <c r="K93" s="153"/>
      <c r="L93" s="153"/>
      <c r="M93" s="153"/>
      <c r="N93" s="153"/>
      <c r="O93" s="153"/>
      <c r="P93" s="153"/>
      <c r="Q93" s="153"/>
      <c r="R93" s="153"/>
      <c r="S93" s="153"/>
      <c r="T93" s="153"/>
      <c r="U93" s="153"/>
      <c r="V93" s="153"/>
      <c r="W93" s="153"/>
      <c r="X93" s="153"/>
      <c r="Y93" s="153"/>
      <c r="Z93" s="153"/>
      <c r="AA93" s="153"/>
      <c r="AB93" s="14"/>
    </row>
    <row r="94" spans="2:28">
      <c r="B94" s="13"/>
      <c r="C94" s="11" t="s">
        <v>38</v>
      </c>
      <c r="D94" s="11"/>
      <c r="E94" s="11"/>
      <c r="F94" s="11"/>
      <c r="G94" s="153"/>
      <c r="H94" s="153"/>
      <c r="I94" s="153"/>
      <c r="J94" s="153"/>
      <c r="K94" s="153"/>
      <c r="L94" s="153"/>
      <c r="M94" s="153"/>
      <c r="N94" s="153"/>
      <c r="O94" s="153"/>
      <c r="P94" s="153"/>
      <c r="Q94" s="153"/>
      <c r="R94" s="153"/>
      <c r="S94" s="153"/>
      <c r="T94" s="153"/>
      <c r="U94" s="153"/>
      <c r="V94" s="153"/>
      <c r="W94" s="153"/>
      <c r="X94" s="153"/>
      <c r="Y94" s="153"/>
      <c r="Z94" s="153"/>
      <c r="AA94" s="153"/>
      <c r="AB94" s="14"/>
    </row>
    <row r="95" spans="2:28">
      <c r="B95" s="13"/>
      <c r="C95" s="11" t="s">
        <v>36</v>
      </c>
      <c r="D95" s="11" t="s">
        <v>39</v>
      </c>
      <c r="E95" s="11"/>
      <c r="F95" s="11"/>
      <c r="G95" s="153"/>
      <c r="H95" s="153"/>
      <c r="I95" s="153"/>
      <c r="J95" s="153"/>
      <c r="K95" s="153"/>
      <c r="L95" s="153"/>
      <c r="M95" s="153"/>
      <c r="N95" s="153"/>
      <c r="O95" s="153"/>
      <c r="P95" s="153"/>
      <c r="Q95" s="153"/>
      <c r="R95" s="153"/>
      <c r="S95" s="153"/>
      <c r="T95" s="153"/>
      <c r="U95" s="153"/>
      <c r="V95" s="153"/>
      <c r="W95" s="153"/>
      <c r="X95" s="153"/>
      <c r="Y95" s="153"/>
      <c r="Z95" s="153"/>
      <c r="AA95" s="153"/>
      <c r="AB95" s="14"/>
    </row>
    <row r="96" spans="2:28" ht="12" thickBot="1">
      <c r="B96" s="16"/>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8"/>
    </row>
    <row r="97" spans="2:32" ht="12" thickBot="1">
      <c r="C97" s="11"/>
      <c r="D97" s="11"/>
      <c r="E97" s="11"/>
      <c r="F97" s="11"/>
    </row>
    <row r="98" spans="2:32">
      <c r="B98" s="116" t="s">
        <v>52</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20"/>
    </row>
    <row r="99" spans="2:32">
      <c r="B99" s="13"/>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4"/>
    </row>
    <row r="100" spans="2:32">
      <c r="B100" s="13"/>
      <c r="C100" s="21" t="s">
        <v>310</v>
      </c>
      <c r="D100" s="21"/>
      <c r="E100" s="21"/>
      <c r="F100" s="15"/>
      <c r="G100" s="15"/>
      <c r="H100" s="15"/>
      <c r="I100" s="15"/>
      <c r="J100" s="15"/>
      <c r="K100" s="15"/>
      <c r="L100" s="15"/>
      <c r="M100" s="15"/>
      <c r="N100" s="15"/>
      <c r="O100" s="15"/>
      <c r="P100" s="15"/>
      <c r="Q100" s="15"/>
      <c r="R100" s="15"/>
      <c r="S100" s="15"/>
      <c r="T100" s="15"/>
      <c r="U100" s="15"/>
      <c r="V100" s="15"/>
      <c r="W100" s="15"/>
      <c r="X100" s="15"/>
      <c r="Y100" s="15"/>
      <c r="Z100" s="15"/>
      <c r="AA100" s="15"/>
      <c r="AB100" s="14"/>
    </row>
    <row r="101" spans="2:32">
      <c r="B101" s="13"/>
      <c r="C101" s="22" t="s">
        <v>50</v>
      </c>
      <c r="D101" s="22"/>
      <c r="E101" s="22"/>
      <c r="F101" s="15"/>
      <c r="G101" s="15"/>
      <c r="H101" s="15"/>
      <c r="I101" s="15"/>
      <c r="J101" s="15"/>
      <c r="K101" s="15"/>
      <c r="L101" s="15"/>
      <c r="M101" s="15"/>
      <c r="N101" s="15"/>
      <c r="O101" s="15"/>
      <c r="P101" s="15"/>
      <c r="Q101" s="15"/>
      <c r="R101" s="15"/>
      <c r="S101" s="15"/>
      <c r="T101" s="15"/>
      <c r="U101" s="15"/>
      <c r="V101" s="15"/>
      <c r="W101" s="15"/>
      <c r="X101" s="15"/>
      <c r="Y101" s="15"/>
      <c r="Z101" s="15"/>
      <c r="AA101" s="15"/>
      <c r="AB101" s="14"/>
    </row>
    <row r="102" spans="2:32">
      <c r="B102" s="13"/>
      <c r="C102" s="89" t="s">
        <v>42</v>
      </c>
      <c r="D102" s="89" t="s">
        <v>77</v>
      </c>
      <c r="E102" s="89" t="s">
        <v>78</v>
      </c>
      <c r="F102" s="90" t="s">
        <v>79</v>
      </c>
      <c r="G102" s="8">
        <v>2000</v>
      </c>
      <c r="H102" s="9">
        <v>2001</v>
      </c>
      <c r="I102" s="8">
        <v>2002</v>
      </c>
      <c r="J102" s="9">
        <v>2003</v>
      </c>
      <c r="K102" s="8">
        <v>2004</v>
      </c>
      <c r="L102" s="9">
        <v>2005</v>
      </c>
      <c r="M102" s="8">
        <v>2006</v>
      </c>
      <c r="N102" s="9">
        <v>2007</v>
      </c>
      <c r="O102" s="8">
        <v>2008</v>
      </c>
      <c r="P102" s="9">
        <v>2009</v>
      </c>
      <c r="Q102" s="8">
        <v>2010</v>
      </c>
      <c r="R102" s="9">
        <v>2011</v>
      </c>
      <c r="S102" s="8">
        <v>2012</v>
      </c>
      <c r="T102" s="9">
        <v>2013</v>
      </c>
      <c r="U102" s="8">
        <v>2014</v>
      </c>
      <c r="V102" s="9">
        <v>2015</v>
      </c>
      <c r="W102" s="9">
        <v>2016</v>
      </c>
      <c r="X102" s="9">
        <v>2017</v>
      </c>
      <c r="Y102" s="9">
        <v>2018</v>
      </c>
      <c r="Z102" s="9">
        <v>2019</v>
      </c>
      <c r="AA102" s="9">
        <v>2020</v>
      </c>
      <c r="AB102" s="14"/>
    </row>
    <row r="103" spans="2:32">
      <c r="B103" s="13"/>
      <c r="C103" s="121" t="str">
        <f t="shared" ref="C103:X103" si="0">C15</f>
        <v>DE</v>
      </c>
      <c r="D103" s="121" t="str">
        <f t="shared" si="0"/>
        <v>Domestic extraction</v>
      </c>
      <c r="E103" s="122" t="str">
        <f t="shared" si="0"/>
        <v>TOTAL</v>
      </c>
      <c r="F103" s="123" t="str">
        <f t="shared" si="0"/>
        <v>Total</v>
      </c>
      <c r="G103" s="124">
        <f t="shared" si="0"/>
        <v>5553779.4000000004</v>
      </c>
      <c r="H103" s="124">
        <f t="shared" si="0"/>
        <v>5599114.6900000004</v>
      </c>
      <c r="I103" s="124">
        <f t="shared" si="0"/>
        <v>5617192.7149999999</v>
      </c>
      <c r="J103" s="124">
        <f t="shared" si="0"/>
        <v>5610321.4129999997</v>
      </c>
      <c r="K103" s="124">
        <f t="shared" si="0"/>
        <v>5894589.7259999998</v>
      </c>
      <c r="L103" s="124">
        <f t="shared" si="0"/>
        <v>5954486.4309999999</v>
      </c>
      <c r="M103" s="124">
        <f t="shared" si="0"/>
        <v>6108004.301</v>
      </c>
      <c r="N103" s="124">
        <f t="shared" si="0"/>
        <v>6366184.8849999998</v>
      </c>
      <c r="O103" s="124">
        <f t="shared" si="0"/>
        <v>6253011.8020000001</v>
      </c>
      <c r="P103" s="124">
        <f t="shared" si="0"/>
        <v>5582862.7379999999</v>
      </c>
      <c r="Q103" s="124">
        <f t="shared" si="0"/>
        <v>5338869.0520000001</v>
      </c>
      <c r="R103" s="124">
        <f t="shared" si="0"/>
        <v>5666757.0710000005</v>
      </c>
      <c r="S103" s="124">
        <f t="shared" si="0"/>
        <v>5248892.0920000002</v>
      </c>
      <c r="T103" s="124">
        <f t="shared" si="0"/>
        <v>5136596.1129999999</v>
      </c>
      <c r="U103" s="124">
        <f t="shared" si="0"/>
        <v>5190920.1679999996</v>
      </c>
      <c r="V103" s="124">
        <f t="shared" si="0"/>
        <v>5123302.915</v>
      </c>
      <c r="W103" s="124">
        <f t="shared" si="0"/>
        <v>5117857.1169999996</v>
      </c>
      <c r="X103" s="124">
        <f t="shared" si="0"/>
        <v>5297903.2180000003</v>
      </c>
      <c r="Y103" s="124">
        <f t="shared" ref="Y103:AA103" si="1">Y15</f>
        <v>5335027.5810000002</v>
      </c>
      <c r="Z103" s="124">
        <f t="shared" si="1"/>
        <v>5325644.7230000002</v>
      </c>
      <c r="AA103" s="124">
        <f t="shared" si="1"/>
        <v>5169007.1540000001</v>
      </c>
      <c r="AB103" s="14"/>
    </row>
    <row r="104" spans="2:32">
      <c r="B104" s="13"/>
      <c r="C104" s="125" t="str">
        <f t="shared" ref="C104:X104" si="2">C16</f>
        <v>DE</v>
      </c>
      <c r="D104" s="125" t="str">
        <f t="shared" si="2"/>
        <v>Domestic extraction</v>
      </c>
      <c r="E104" s="125" t="str">
        <f t="shared" si="2"/>
        <v>MF1</v>
      </c>
      <c r="F104" s="125" t="str">
        <f t="shared" si="2"/>
        <v>Biomass</v>
      </c>
      <c r="G104" s="124">
        <f t="shared" si="2"/>
        <v>1467311.808</v>
      </c>
      <c r="H104" s="124">
        <f t="shared" si="2"/>
        <v>1446969.068</v>
      </c>
      <c r="I104" s="124">
        <f t="shared" si="2"/>
        <v>1447957.7209999999</v>
      </c>
      <c r="J104" s="124">
        <f t="shared" si="2"/>
        <v>1341056.2860000001</v>
      </c>
      <c r="K104" s="124">
        <f t="shared" si="2"/>
        <v>1534428.284</v>
      </c>
      <c r="L104" s="124">
        <f t="shared" si="2"/>
        <v>1470233.2960000001</v>
      </c>
      <c r="M104" s="124">
        <f t="shared" si="2"/>
        <v>1394602.774</v>
      </c>
      <c r="N104" s="124">
        <f t="shared" si="2"/>
        <v>1443096.1610000001</v>
      </c>
      <c r="O104" s="124">
        <f t="shared" si="2"/>
        <v>1485963.0870000001</v>
      </c>
      <c r="P104" s="124">
        <f t="shared" si="2"/>
        <v>1457148.828</v>
      </c>
      <c r="Q104" s="124">
        <f t="shared" si="2"/>
        <v>1421195.196</v>
      </c>
      <c r="R104" s="124">
        <f t="shared" si="2"/>
        <v>1489082.0519999999</v>
      </c>
      <c r="S104" s="124">
        <f t="shared" si="2"/>
        <v>1430291.466</v>
      </c>
      <c r="T104" s="124">
        <f t="shared" si="2"/>
        <v>1475221.145</v>
      </c>
      <c r="U104" s="124">
        <f t="shared" si="2"/>
        <v>1576154.817</v>
      </c>
      <c r="V104" s="124">
        <f t="shared" si="2"/>
        <v>1469058.8740000001</v>
      </c>
      <c r="W104" s="124">
        <f t="shared" si="2"/>
        <v>1495265.486</v>
      </c>
      <c r="X104" s="124">
        <f t="shared" si="2"/>
        <v>1538468.273</v>
      </c>
      <c r="Y104" s="124">
        <f t="shared" ref="Y104:AA104" si="3">Y16</f>
        <v>1480654.0190000001</v>
      </c>
      <c r="Z104" s="124">
        <f t="shared" si="3"/>
        <v>1477742.8370000001</v>
      </c>
      <c r="AA104" s="124">
        <f t="shared" si="3"/>
        <v>1485398.537</v>
      </c>
      <c r="AB104" s="14"/>
    </row>
    <row r="105" spans="2:32">
      <c r="B105" s="13"/>
      <c r="C105" s="125" t="str">
        <f t="shared" ref="C105:X105" si="4">C17</f>
        <v>DE</v>
      </c>
      <c r="D105" s="125" t="str">
        <f t="shared" si="4"/>
        <v>Domestic extraction</v>
      </c>
      <c r="E105" s="125" t="str">
        <f t="shared" si="4"/>
        <v>MF2</v>
      </c>
      <c r="F105" s="125" t="str">
        <f t="shared" si="4"/>
        <v>Metal ores (gross ores)</v>
      </c>
      <c r="G105" s="124">
        <f t="shared" si="4"/>
        <v>150368.73199999999</v>
      </c>
      <c r="H105" s="124">
        <f t="shared" si="4"/>
        <v>144623.53</v>
      </c>
      <c r="I105" s="124">
        <f t="shared" si="4"/>
        <v>139896.08300000001</v>
      </c>
      <c r="J105" s="124">
        <f t="shared" si="4"/>
        <v>137859.36900000001</v>
      </c>
      <c r="K105" s="124">
        <f t="shared" si="4"/>
        <v>139829.24100000001</v>
      </c>
      <c r="L105" s="124">
        <f t="shared" si="4"/>
        <v>139280.42300000001</v>
      </c>
      <c r="M105" s="124">
        <f t="shared" si="4"/>
        <v>142836.17300000001</v>
      </c>
      <c r="N105" s="124">
        <f t="shared" si="4"/>
        <v>139590.361</v>
      </c>
      <c r="O105" s="124">
        <f t="shared" si="4"/>
        <v>140095.79399999999</v>
      </c>
      <c r="P105" s="124">
        <f t="shared" si="4"/>
        <v>136529.19399999999</v>
      </c>
      <c r="Q105" s="124">
        <f t="shared" si="4"/>
        <v>163922.16200000001</v>
      </c>
      <c r="R105" s="124">
        <f t="shared" si="4"/>
        <v>170654.26199999999</v>
      </c>
      <c r="S105" s="124">
        <f t="shared" si="4"/>
        <v>184468.83499999999</v>
      </c>
      <c r="T105" s="124">
        <f t="shared" si="4"/>
        <v>213604.23199999999</v>
      </c>
      <c r="U105" s="124">
        <f t="shared" si="4"/>
        <v>189156.08100000001</v>
      </c>
      <c r="V105" s="124">
        <f t="shared" si="4"/>
        <v>189361.39199999999</v>
      </c>
      <c r="W105" s="124">
        <f t="shared" si="4"/>
        <v>206501.59899999999</v>
      </c>
      <c r="X105" s="124">
        <f t="shared" si="4"/>
        <v>211449.81899999999</v>
      </c>
      <c r="Y105" s="124">
        <f t="shared" ref="Y105:AA105" si="5">Y17</f>
        <v>218695.397</v>
      </c>
      <c r="Z105" s="124">
        <f t="shared" si="5"/>
        <v>219624.38200000001</v>
      </c>
      <c r="AA105" s="124">
        <f t="shared" si="5"/>
        <v>220234.79699999999</v>
      </c>
      <c r="AB105" s="14"/>
    </row>
    <row r="106" spans="2:32">
      <c r="B106" s="13"/>
      <c r="C106" s="125" t="str">
        <f t="shared" ref="C106:X106" si="6">C18</f>
        <v>DE</v>
      </c>
      <c r="D106" s="125" t="str">
        <f t="shared" si="6"/>
        <v>Domestic extraction</v>
      </c>
      <c r="E106" s="125" t="str">
        <f t="shared" si="6"/>
        <v>MF3</v>
      </c>
      <c r="F106" s="125" t="str">
        <f t="shared" si="6"/>
        <v>Non-metallic minerals</v>
      </c>
      <c r="G106" s="124">
        <f t="shared" si="6"/>
        <v>3155112.5920000002</v>
      </c>
      <c r="H106" s="124">
        <f t="shared" si="6"/>
        <v>3217608.9029999999</v>
      </c>
      <c r="I106" s="124">
        <f t="shared" si="6"/>
        <v>3242184.0780000002</v>
      </c>
      <c r="J106" s="124">
        <f t="shared" si="6"/>
        <v>3342932.196</v>
      </c>
      <c r="K106" s="124">
        <f t="shared" si="6"/>
        <v>3432871.2059999998</v>
      </c>
      <c r="L106" s="124">
        <f t="shared" si="6"/>
        <v>3574957.3229999999</v>
      </c>
      <c r="M106" s="124">
        <f t="shared" si="6"/>
        <v>3811375.2069999999</v>
      </c>
      <c r="N106" s="124">
        <f t="shared" si="6"/>
        <v>4041946.875</v>
      </c>
      <c r="O106" s="124">
        <f t="shared" si="6"/>
        <v>3903512.0660000001</v>
      </c>
      <c r="P106" s="124">
        <f t="shared" si="6"/>
        <v>3303250.142</v>
      </c>
      <c r="Q106" s="124">
        <f t="shared" si="6"/>
        <v>3068830.1490000002</v>
      </c>
      <c r="R106" s="124">
        <f t="shared" si="6"/>
        <v>3303752.3840000001</v>
      </c>
      <c r="S106" s="124">
        <f t="shared" si="6"/>
        <v>2934908.7069999999</v>
      </c>
      <c r="T106" s="124">
        <f t="shared" si="6"/>
        <v>2773384.281</v>
      </c>
      <c r="U106" s="124">
        <f t="shared" si="6"/>
        <v>2785731.111</v>
      </c>
      <c r="V106" s="124">
        <f t="shared" si="6"/>
        <v>2848366.9849999999</v>
      </c>
      <c r="W106" s="124">
        <f t="shared" si="6"/>
        <v>2842182.24</v>
      </c>
      <c r="X106" s="124">
        <f t="shared" si="6"/>
        <v>2973242.2439999999</v>
      </c>
      <c r="Y106" s="124">
        <f t="shared" ref="Y106:AA106" si="7">Y18</f>
        <v>3074023.077</v>
      </c>
      <c r="Z106" s="124">
        <f t="shared" si="7"/>
        <v>3150037.696</v>
      </c>
      <c r="AA106" s="124">
        <f t="shared" si="7"/>
        <v>3079075.25</v>
      </c>
      <c r="AB106" s="14"/>
    </row>
    <row r="107" spans="2:32">
      <c r="B107" s="13"/>
      <c r="C107" s="125" t="str">
        <f t="shared" ref="C107:X107" si="8">C19</f>
        <v>DE</v>
      </c>
      <c r="D107" s="125" t="str">
        <f t="shared" si="8"/>
        <v>Domestic extraction</v>
      </c>
      <c r="E107" s="125" t="str">
        <f t="shared" si="8"/>
        <v>MF4</v>
      </c>
      <c r="F107" s="125" t="str">
        <f t="shared" si="8"/>
        <v>Fossil energy materials/carriers</v>
      </c>
      <c r="G107" s="124">
        <f t="shared" si="8"/>
        <v>780986.26800000004</v>
      </c>
      <c r="H107" s="124">
        <f t="shared" si="8"/>
        <v>789913.18900000001</v>
      </c>
      <c r="I107" s="124">
        <f t="shared" si="8"/>
        <v>787154.83400000003</v>
      </c>
      <c r="J107" s="124">
        <f t="shared" si="8"/>
        <v>788473.56099999999</v>
      </c>
      <c r="K107" s="124">
        <f t="shared" si="8"/>
        <v>787460.995</v>
      </c>
      <c r="L107" s="124">
        <f t="shared" si="8"/>
        <v>770015.38800000004</v>
      </c>
      <c r="M107" s="124">
        <f t="shared" si="8"/>
        <v>759190.147</v>
      </c>
      <c r="N107" s="124">
        <f t="shared" si="8"/>
        <v>741551.48800000001</v>
      </c>
      <c r="O107" s="124">
        <f t="shared" si="8"/>
        <v>723440.85499999998</v>
      </c>
      <c r="P107" s="124">
        <f t="shared" si="8"/>
        <v>685934.57499999995</v>
      </c>
      <c r="Q107" s="124">
        <f t="shared" si="8"/>
        <v>684921.54500000004</v>
      </c>
      <c r="R107" s="124">
        <f t="shared" si="8"/>
        <v>703268.37300000002</v>
      </c>
      <c r="S107" s="124">
        <f t="shared" si="8"/>
        <v>699223.08400000003</v>
      </c>
      <c r="T107" s="124">
        <f t="shared" si="8"/>
        <v>674386.45499999996</v>
      </c>
      <c r="U107" s="124">
        <f t="shared" si="8"/>
        <v>639878.15899999999</v>
      </c>
      <c r="V107" s="124">
        <f t="shared" si="8"/>
        <v>616515.66399999999</v>
      </c>
      <c r="W107" s="124">
        <f t="shared" si="8"/>
        <v>573907.79200000002</v>
      </c>
      <c r="X107" s="124">
        <f t="shared" si="8"/>
        <v>574742.88300000003</v>
      </c>
      <c r="Y107" s="124">
        <f t="shared" ref="Y107:AA107" si="9">Y19</f>
        <v>561655.08799999999</v>
      </c>
      <c r="Z107" s="124">
        <f t="shared" si="9"/>
        <v>478239.80900000001</v>
      </c>
      <c r="AA107" s="124">
        <f t="shared" si="9"/>
        <v>384298.57</v>
      </c>
      <c r="AB107" s="14"/>
    </row>
    <row r="108" spans="2:32">
      <c r="B108" s="13"/>
      <c r="C108" s="125" t="str">
        <f t="shared" ref="C108:X108" si="10">C22</f>
        <v>IMP</v>
      </c>
      <c r="D108" s="125" t="str">
        <f t="shared" si="10"/>
        <v>Imports</v>
      </c>
      <c r="E108" s="125" t="str">
        <f t="shared" si="10"/>
        <v>TOTAL</v>
      </c>
      <c r="F108" s="125" t="str">
        <f t="shared" si="10"/>
        <v>Total</v>
      </c>
      <c r="G108" s="124">
        <f t="shared" si="10"/>
        <v>1484124.557</v>
      </c>
      <c r="H108" s="124">
        <f t="shared" si="10"/>
        <v>1462513</v>
      </c>
      <c r="I108" s="124">
        <f t="shared" si="10"/>
        <v>1531347.9509999999</v>
      </c>
      <c r="J108" s="124">
        <f t="shared" si="10"/>
        <v>1615654.6329999999</v>
      </c>
      <c r="K108" s="124">
        <f t="shared" si="10"/>
        <v>1669336.2779999999</v>
      </c>
      <c r="L108" s="124">
        <f t="shared" si="10"/>
        <v>1694677.041</v>
      </c>
      <c r="M108" s="124">
        <f t="shared" si="10"/>
        <v>1738933.5819999999</v>
      </c>
      <c r="N108" s="124">
        <f t="shared" si="10"/>
        <v>1769391.1429999999</v>
      </c>
      <c r="O108" s="124">
        <f t="shared" si="10"/>
        <v>1750439.183</v>
      </c>
      <c r="P108" s="124">
        <f t="shared" si="10"/>
        <v>1479750.017</v>
      </c>
      <c r="Q108" s="124">
        <f t="shared" si="10"/>
        <v>1589116.1910000001</v>
      </c>
      <c r="R108" s="124">
        <f t="shared" si="10"/>
        <v>1615363.1089999999</v>
      </c>
      <c r="S108" s="124">
        <f t="shared" si="10"/>
        <v>1564667.726</v>
      </c>
      <c r="T108" s="124">
        <f t="shared" si="10"/>
        <v>1550740.6159999999</v>
      </c>
      <c r="U108" s="124">
        <f t="shared" si="10"/>
        <v>1569952.0390000001</v>
      </c>
      <c r="V108" s="124">
        <f t="shared" si="10"/>
        <v>1636369.311</v>
      </c>
      <c r="W108" s="124">
        <f t="shared" si="10"/>
        <v>1654547.7239999999</v>
      </c>
      <c r="X108" s="124">
        <f t="shared" si="10"/>
        <v>1697163.9210000001</v>
      </c>
      <c r="Y108" s="124">
        <f t="shared" ref="Y108:AA108" si="11">Y22</f>
        <v>1732481.277</v>
      </c>
      <c r="Z108" s="124">
        <f t="shared" si="11"/>
        <v>1698846.43</v>
      </c>
      <c r="AA108" s="124">
        <f t="shared" si="11"/>
        <v>1525218.821</v>
      </c>
      <c r="AB108" s="14"/>
    </row>
    <row r="109" spans="2:32">
      <c r="B109" s="13"/>
      <c r="C109" s="125" t="str">
        <f t="shared" ref="C109:F112" si="12">C23</f>
        <v>IMP</v>
      </c>
      <c r="D109" s="125" t="str">
        <f t="shared" si="12"/>
        <v>Imports</v>
      </c>
      <c r="E109" s="125" t="str">
        <f t="shared" si="12"/>
        <v>MF1</v>
      </c>
      <c r="F109" s="125" t="str">
        <f t="shared" si="12"/>
        <v>Biomass</v>
      </c>
      <c r="G109" s="124">
        <f t="shared" ref="G109:X109" si="13">G23/SUM(G$23:G$26)*SUM(G$27:G$28)+G23</f>
        <v>156962.31796486565</v>
      </c>
      <c r="H109" s="124">
        <f t="shared" si="13"/>
        <v>161199.24729502253</v>
      </c>
      <c r="I109" s="124">
        <f t="shared" si="13"/>
        <v>170977.91598169197</v>
      </c>
      <c r="J109" s="124">
        <f t="shared" si="13"/>
        <v>170833.80426103831</v>
      </c>
      <c r="K109" s="124">
        <f t="shared" si="13"/>
        <v>173837.05785875695</v>
      </c>
      <c r="L109" s="124">
        <f t="shared" si="13"/>
        <v>175085.13942807223</v>
      </c>
      <c r="M109" s="124">
        <f t="shared" si="13"/>
        <v>176659.86889414807</v>
      </c>
      <c r="N109" s="124">
        <f t="shared" si="13"/>
        <v>190827.54951543707</v>
      </c>
      <c r="O109" s="124">
        <f t="shared" si="13"/>
        <v>186591.6293090868</v>
      </c>
      <c r="P109" s="124">
        <f t="shared" si="13"/>
        <v>157130.95159451693</v>
      </c>
      <c r="Q109" s="124">
        <f t="shared" si="13"/>
        <v>166021.52817923555</v>
      </c>
      <c r="R109" s="124">
        <f t="shared" si="13"/>
        <v>173914.96167593586</v>
      </c>
      <c r="S109" s="124">
        <f t="shared" si="13"/>
        <v>172030.4516731948</v>
      </c>
      <c r="T109" s="124">
        <f t="shared" si="13"/>
        <v>176827.59660297577</v>
      </c>
      <c r="U109" s="124">
        <f t="shared" si="13"/>
        <v>191449.87345946877</v>
      </c>
      <c r="V109" s="124">
        <f t="shared" si="13"/>
        <v>190831.07011132676</v>
      </c>
      <c r="W109" s="124">
        <f t="shared" si="13"/>
        <v>196966.29742555111</v>
      </c>
      <c r="X109" s="124">
        <f t="shared" si="13"/>
        <v>203053.91626456467</v>
      </c>
      <c r="Y109" s="124">
        <f t="shared" ref="Y109" si="14">Y23/SUM(Y$23:Y$26)*SUM(Y$27:Y$28)+Y23</f>
        <v>216082.21917061487</v>
      </c>
      <c r="Z109" s="124">
        <f t="shared" ref="Z109:AA109" si="15">Z23/SUM(Z$23:Z$26)*SUM(Z$27:Z$28)+Z23</f>
        <v>221296.61642496102</v>
      </c>
      <c r="AA109" s="124">
        <f t="shared" si="15"/>
        <v>210605.68447596551</v>
      </c>
      <c r="AB109" s="14"/>
    </row>
    <row r="110" spans="2:32">
      <c r="B110" s="13"/>
      <c r="C110" s="125" t="str">
        <f t="shared" si="12"/>
        <v>IMP</v>
      </c>
      <c r="D110" s="125" t="str">
        <f t="shared" si="12"/>
        <v>Imports</v>
      </c>
      <c r="E110" s="125" t="str">
        <f t="shared" si="12"/>
        <v>MF2</v>
      </c>
      <c r="F110" s="125" t="str">
        <f t="shared" si="12"/>
        <v>Metal ores (gross ores)</v>
      </c>
      <c r="G110" s="124">
        <f t="shared" ref="G110:X110" si="16">G24/SUM(G$23:G$26)*SUM(G$27:G$28)+G24</f>
        <v>244113.34840209206</v>
      </c>
      <c r="H110" s="124">
        <f t="shared" si="16"/>
        <v>230819.3861592389</v>
      </c>
      <c r="I110" s="124">
        <f t="shared" si="16"/>
        <v>233093.23412298912</v>
      </c>
      <c r="J110" s="124">
        <f t="shared" si="16"/>
        <v>251370.16721942398</v>
      </c>
      <c r="K110" s="124">
        <f t="shared" si="16"/>
        <v>276878.28246844251</v>
      </c>
      <c r="L110" s="124">
        <f t="shared" si="16"/>
        <v>285672.22471022408</v>
      </c>
      <c r="M110" s="124">
        <f t="shared" si="16"/>
        <v>292250.50319668045</v>
      </c>
      <c r="N110" s="124">
        <f t="shared" si="16"/>
        <v>300171.43224552157</v>
      </c>
      <c r="O110" s="124">
        <f t="shared" si="16"/>
        <v>290210.06907184509</v>
      </c>
      <c r="P110" s="124">
        <f t="shared" si="16"/>
        <v>173105.63763409617</v>
      </c>
      <c r="Q110" s="124">
        <f t="shared" si="16"/>
        <v>235293.92629327503</v>
      </c>
      <c r="R110" s="124">
        <f t="shared" si="16"/>
        <v>247422.39954099059</v>
      </c>
      <c r="S110" s="124">
        <f t="shared" si="16"/>
        <v>220946.51942652254</v>
      </c>
      <c r="T110" s="124">
        <f t="shared" si="16"/>
        <v>234174.18982394499</v>
      </c>
      <c r="U110" s="124">
        <f t="shared" si="16"/>
        <v>242048.32060301385</v>
      </c>
      <c r="V110" s="124">
        <f t="shared" si="16"/>
        <v>253947.08103514923</v>
      </c>
      <c r="W110" s="124">
        <f t="shared" si="16"/>
        <v>248818.75932811582</v>
      </c>
      <c r="X110" s="124">
        <f t="shared" si="16"/>
        <v>255292.38874774918</v>
      </c>
      <c r="Y110" s="124">
        <f t="shared" ref="Y110:AA110" si="17">Y24/SUM(Y$23:Y$26)*SUM(Y$27:Y$28)+Y24</f>
        <v>269811.94335262798</v>
      </c>
      <c r="Z110" s="124">
        <f t="shared" si="17"/>
        <v>254949.70718178002</v>
      </c>
      <c r="AA110" s="124">
        <f t="shared" si="17"/>
        <v>222642.48714783569</v>
      </c>
      <c r="AB110" s="14"/>
    </row>
    <row r="111" spans="2:32">
      <c r="B111" s="13"/>
      <c r="C111" s="125" t="str">
        <f t="shared" si="12"/>
        <v>IMP</v>
      </c>
      <c r="D111" s="125" t="str">
        <f t="shared" si="12"/>
        <v>Imports</v>
      </c>
      <c r="E111" s="125" t="str">
        <f t="shared" si="12"/>
        <v>MF3</v>
      </c>
      <c r="F111" s="125" t="str">
        <f t="shared" si="12"/>
        <v>Non-metallic minerals</v>
      </c>
      <c r="G111" s="124">
        <f t="shared" ref="G111:X111" si="18">G25/SUM(G$23:G$26)*SUM(G$27:G$28)+G25</f>
        <v>89050.804831059024</v>
      </c>
      <c r="H111" s="124">
        <f t="shared" si="18"/>
        <v>91650.087346427768</v>
      </c>
      <c r="I111" s="124">
        <f t="shared" si="18"/>
        <v>95457.431084456999</v>
      </c>
      <c r="J111" s="124">
        <f t="shared" si="18"/>
        <v>102252.11478561501</v>
      </c>
      <c r="K111" s="124">
        <f t="shared" si="18"/>
        <v>107755.83305934889</v>
      </c>
      <c r="L111" s="124">
        <f t="shared" si="18"/>
        <v>110089.83236816211</v>
      </c>
      <c r="M111" s="124">
        <f t="shared" si="18"/>
        <v>112713.99007315481</v>
      </c>
      <c r="N111" s="124">
        <f t="shared" si="18"/>
        <v>124432.60916641455</v>
      </c>
      <c r="O111" s="124">
        <f t="shared" si="18"/>
        <v>111187.41010497171</v>
      </c>
      <c r="P111" s="124">
        <f t="shared" si="18"/>
        <v>84462.931598463954</v>
      </c>
      <c r="Q111" s="124">
        <f t="shared" si="18"/>
        <v>98265.479136746944</v>
      </c>
      <c r="R111" s="124">
        <f t="shared" si="18"/>
        <v>103352.17778469836</v>
      </c>
      <c r="S111" s="124">
        <f t="shared" si="18"/>
        <v>86990.176180934155</v>
      </c>
      <c r="T111" s="124">
        <f t="shared" si="18"/>
        <v>84449.897683456787</v>
      </c>
      <c r="U111" s="124">
        <f t="shared" si="18"/>
        <v>87324.260284765798</v>
      </c>
      <c r="V111" s="124">
        <f t="shared" si="18"/>
        <v>85389.577964190263</v>
      </c>
      <c r="W111" s="124">
        <f t="shared" si="18"/>
        <v>89994.06321528602</v>
      </c>
      <c r="X111" s="124">
        <f t="shared" si="18"/>
        <v>100478.00221419461</v>
      </c>
      <c r="Y111" s="124">
        <f t="shared" ref="Y111:AA111" si="19">Y25/SUM(Y$23:Y$26)*SUM(Y$27:Y$28)+Y25</f>
        <v>105453.99212949403</v>
      </c>
      <c r="Z111" s="124">
        <f t="shared" si="19"/>
        <v>110648.84257672113</v>
      </c>
      <c r="AA111" s="124">
        <f t="shared" si="19"/>
        <v>107458.80792244023</v>
      </c>
      <c r="AB111" s="14"/>
    </row>
    <row r="112" spans="2:32">
      <c r="B112" s="13"/>
      <c r="C112" s="125" t="str">
        <f t="shared" si="12"/>
        <v>IMP</v>
      </c>
      <c r="D112" s="125" t="str">
        <f t="shared" si="12"/>
        <v>Imports</v>
      </c>
      <c r="E112" s="125" t="str">
        <f t="shared" si="12"/>
        <v>MF4</v>
      </c>
      <c r="F112" s="125" t="str">
        <f t="shared" si="12"/>
        <v>Fossil energy materials/carriers</v>
      </c>
      <c r="G112" s="124">
        <f t="shared" ref="G112:X112" si="20">G26/SUM(G$23:G$26)*SUM(G$27:G$28)+G26</f>
        <v>993998.0868019833</v>
      </c>
      <c r="H112" s="124">
        <f t="shared" si="20"/>
        <v>978844.27919931081</v>
      </c>
      <c r="I112" s="124">
        <f t="shared" si="20"/>
        <v>1031819.3698108619</v>
      </c>
      <c r="J112" s="124">
        <f t="shared" si="20"/>
        <v>1091198.5467339226</v>
      </c>
      <c r="K112" s="124">
        <f t="shared" si="20"/>
        <v>1110865.1046134518</v>
      </c>
      <c r="L112" s="124">
        <f t="shared" si="20"/>
        <v>1123829.8434935415</v>
      </c>
      <c r="M112" s="124">
        <f t="shared" si="20"/>
        <v>1157309.2198360167</v>
      </c>
      <c r="N112" s="124">
        <f t="shared" si="20"/>
        <v>1153959.5520726268</v>
      </c>
      <c r="O112" s="124">
        <f t="shared" si="20"/>
        <v>1162450.0745140964</v>
      </c>
      <c r="P112" s="124">
        <f t="shared" si="20"/>
        <v>1065050.4961729229</v>
      </c>
      <c r="Q112" s="124">
        <f t="shared" si="20"/>
        <v>1089535.2573907424</v>
      </c>
      <c r="R112" s="124">
        <f t="shared" si="20"/>
        <v>1090673.568998375</v>
      </c>
      <c r="S112" s="124">
        <f t="shared" si="20"/>
        <v>1084700.5787193484</v>
      </c>
      <c r="T112" s="124">
        <f t="shared" si="20"/>
        <v>1055288.9308896225</v>
      </c>
      <c r="U112" s="124">
        <f t="shared" si="20"/>
        <v>1049129.5846527515</v>
      </c>
      <c r="V112" s="124">
        <f t="shared" si="20"/>
        <v>1106201.5818893339</v>
      </c>
      <c r="W112" s="124">
        <f t="shared" si="20"/>
        <v>1118768.6030310472</v>
      </c>
      <c r="X112" s="124">
        <f t="shared" si="20"/>
        <v>1138339.6127734915</v>
      </c>
      <c r="Y112" s="124">
        <f t="shared" ref="Y112:AA112" si="21">Y26/SUM(Y$23:Y$26)*SUM(Y$27:Y$28)+Y26</f>
        <v>1141133.1223472632</v>
      </c>
      <c r="Z112" s="124">
        <f t="shared" si="21"/>
        <v>1111951.2638165378</v>
      </c>
      <c r="AA112" s="124">
        <f t="shared" si="21"/>
        <v>984511.84245375858</v>
      </c>
      <c r="AB112" s="14"/>
      <c r="AC112" s="71"/>
      <c r="AD112" s="71"/>
      <c r="AE112" s="71"/>
      <c r="AF112" s="71"/>
    </row>
    <row r="113" spans="2:28">
      <c r="B113" s="13"/>
      <c r="C113" s="125" t="str">
        <f t="shared" ref="C113:X113" si="22">C29</f>
        <v>EXP</v>
      </c>
      <c r="D113" s="125" t="str">
        <f t="shared" si="22"/>
        <v>Exports</v>
      </c>
      <c r="E113" s="125" t="str">
        <f t="shared" si="22"/>
        <v>TOTAL</v>
      </c>
      <c r="F113" s="125" t="str">
        <f t="shared" si="22"/>
        <v>Total</v>
      </c>
      <c r="G113" s="124">
        <f t="shared" si="22"/>
        <v>442422.39299999998</v>
      </c>
      <c r="H113" s="124">
        <f t="shared" si="22"/>
        <v>441252.55300000001</v>
      </c>
      <c r="I113" s="124">
        <f t="shared" si="22"/>
        <v>467876.36800000002</v>
      </c>
      <c r="J113" s="124">
        <f t="shared" si="22"/>
        <v>479623.02399999998</v>
      </c>
      <c r="K113" s="124">
        <f t="shared" si="22"/>
        <v>505228.86599999998</v>
      </c>
      <c r="L113" s="124">
        <f t="shared" si="22"/>
        <v>532029.179</v>
      </c>
      <c r="M113" s="124">
        <f t="shared" si="22"/>
        <v>555701.73</v>
      </c>
      <c r="N113" s="124">
        <f t="shared" si="22"/>
        <v>569602.15399999998</v>
      </c>
      <c r="O113" s="124">
        <f t="shared" si="22"/>
        <v>581778.821</v>
      </c>
      <c r="P113" s="124">
        <f t="shared" si="22"/>
        <v>546869.29200000002</v>
      </c>
      <c r="Q113" s="124">
        <f t="shared" si="22"/>
        <v>604251.40599999996</v>
      </c>
      <c r="R113" s="124">
        <f t="shared" si="22"/>
        <v>624715.42200000002</v>
      </c>
      <c r="S113" s="124">
        <f t="shared" si="22"/>
        <v>669893.34699999995</v>
      </c>
      <c r="T113" s="124">
        <f t="shared" si="22"/>
        <v>700460.31400000001</v>
      </c>
      <c r="U113" s="124">
        <f t="shared" si="22"/>
        <v>710366.94499999995</v>
      </c>
      <c r="V113" s="124">
        <f t="shared" si="22"/>
        <v>716760.04299999995</v>
      </c>
      <c r="W113" s="124">
        <f t="shared" si="22"/>
        <v>738911.08799999999</v>
      </c>
      <c r="X113" s="124">
        <f t="shared" si="22"/>
        <v>764934.20200000005</v>
      </c>
      <c r="Y113" s="124">
        <f t="shared" ref="Y113:AA113" si="23">Y29</f>
        <v>745693.946</v>
      </c>
      <c r="Z113" s="124">
        <f t="shared" si="23"/>
        <v>745534.40700000001</v>
      </c>
      <c r="AA113" s="124">
        <f t="shared" si="23"/>
        <v>718274.28700000001</v>
      </c>
      <c r="AB113" s="14"/>
    </row>
    <row r="114" spans="2:28">
      <c r="B114" s="13"/>
      <c r="C114" s="125" t="str">
        <f t="shared" ref="C114:F117" si="24">C30</f>
        <v>EXP</v>
      </c>
      <c r="D114" s="125" t="str">
        <f t="shared" si="24"/>
        <v>Exports</v>
      </c>
      <c r="E114" s="125" t="str">
        <f t="shared" si="24"/>
        <v>MF1</v>
      </c>
      <c r="F114" s="125" t="str">
        <f t="shared" si="24"/>
        <v>Biomass</v>
      </c>
      <c r="G114" s="124">
        <f t="shared" ref="G114:X114" si="25">G30/SUM(G$30:G$33)*SUM(G$34:G$35)+G30</f>
        <v>136522.35333986601</v>
      </c>
      <c r="H114" s="124">
        <f t="shared" si="25"/>
        <v>132616.07379019051</v>
      </c>
      <c r="I114" s="124">
        <f t="shared" si="25"/>
        <v>138497.78421494734</v>
      </c>
      <c r="J114" s="124">
        <f t="shared" si="25"/>
        <v>141399.71077767076</v>
      </c>
      <c r="K114" s="124">
        <f t="shared" si="25"/>
        <v>139604.37288965526</v>
      </c>
      <c r="L114" s="124">
        <f t="shared" si="25"/>
        <v>154229.30574035831</v>
      </c>
      <c r="M114" s="124">
        <f t="shared" si="25"/>
        <v>160978.14411069921</v>
      </c>
      <c r="N114" s="124">
        <f t="shared" si="25"/>
        <v>149697.34874626223</v>
      </c>
      <c r="O114" s="124">
        <f t="shared" si="25"/>
        <v>160772.41735553963</v>
      </c>
      <c r="P114" s="124">
        <f t="shared" si="25"/>
        <v>156539.46133529933</v>
      </c>
      <c r="Q114" s="124">
        <f t="shared" si="25"/>
        <v>174064.87978454566</v>
      </c>
      <c r="R114" s="124">
        <f t="shared" si="25"/>
        <v>175488.84664479963</v>
      </c>
      <c r="S114" s="124">
        <f t="shared" si="25"/>
        <v>179666.97439195929</v>
      </c>
      <c r="T114" s="124">
        <f t="shared" si="25"/>
        <v>199824.08692482032</v>
      </c>
      <c r="U114" s="124">
        <f t="shared" si="25"/>
        <v>208289.92952757451</v>
      </c>
      <c r="V114" s="124">
        <f t="shared" si="25"/>
        <v>218511.68077464629</v>
      </c>
      <c r="W114" s="124">
        <f t="shared" si="25"/>
        <v>219538.35961635364</v>
      </c>
      <c r="X114" s="124">
        <f t="shared" si="25"/>
        <v>216651.07366420157</v>
      </c>
      <c r="Y114" s="124">
        <f t="shared" ref="Y114:AA114" si="26">Y30/SUM(Y$30:Y$33)*SUM(Y$34:Y$35)+Y30</f>
        <v>212464.29350221565</v>
      </c>
      <c r="Z114" s="124">
        <f t="shared" si="26"/>
        <v>233800.72511194902</v>
      </c>
      <c r="AA114" s="124">
        <f t="shared" si="26"/>
        <v>248583.95660136311</v>
      </c>
      <c r="AB114" s="14"/>
    </row>
    <row r="115" spans="2:28">
      <c r="B115" s="13"/>
      <c r="C115" s="125" t="str">
        <f t="shared" si="24"/>
        <v>EXP</v>
      </c>
      <c r="D115" s="125" t="str">
        <f t="shared" si="24"/>
        <v>Exports</v>
      </c>
      <c r="E115" s="125" t="str">
        <f t="shared" si="24"/>
        <v>MF2</v>
      </c>
      <c r="F115" s="125" t="str">
        <f t="shared" si="24"/>
        <v>Metal ores (gross ores)</v>
      </c>
      <c r="G115" s="124">
        <f t="shared" ref="G115:X115" si="27">G31/SUM(G$30:G$33)*SUM(G$34:G$35)+G31</f>
        <v>92986.521633416094</v>
      </c>
      <c r="H115" s="124">
        <f t="shared" si="27"/>
        <v>92176.383136517077</v>
      </c>
      <c r="I115" s="124">
        <f t="shared" si="27"/>
        <v>103185.83496349577</v>
      </c>
      <c r="J115" s="124">
        <f t="shared" si="27"/>
        <v>105465.40225146239</v>
      </c>
      <c r="K115" s="124">
        <f t="shared" si="27"/>
        <v>115720.22944000854</v>
      </c>
      <c r="L115" s="124">
        <f t="shared" si="27"/>
        <v>117282.12202988623</v>
      </c>
      <c r="M115" s="124">
        <f t="shared" si="27"/>
        <v>120872.30595456468</v>
      </c>
      <c r="N115" s="124">
        <f t="shared" si="27"/>
        <v>125204.69505433142</v>
      </c>
      <c r="O115" s="124">
        <f t="shared" si="27"/>
        <v>128912.77029696734</v>
      </c>
      <c r="P115" s="124">
        <f t="shared" si="27"/>
        <v>113524.26584304462</v>
      </c>
      <c r="Q115" s="124">
        <f t="shared" si="27"/>
        <v>130205.51446273641</v>
      </c>
      <c r="R115" s="124">
        <f t="shared" si="27"/>
        <v>144860.24097042269</v>
      </c>
      <c r="S115" s="124">
        <f t="shared" si="27"/>
        <v>150478.60136320247</v>
      </c>
      <c r="T115" s="124">
        <f t="shared" si="27"/>
        <v>145652.47702516511</v>
      </c>
      <c r="U115" s="124">
        <f t="shared" si="27"/>
        <v>145254.29890597524</v>
      </c>
      <c r="V115" s="124">
        <f t="shared" si="27"/>
        <v>132042.17278702438</v>
      </c>
      <c r="W115" s="124">
        <f t="shared" si="27"/>
        <v>133800.72576287601</v>
      </c>
      <c r="X115" s="124">
        <f t="shared" si="27"/>
        <v>141529.73870428337</v>
      </c>
      <c r="Y115" s="124">
        <f t="shared" ref="Y115:AA115" si="28">Y31/SUM(Y$30:Y$33)*SUM(Y$34:Y$35)+Y31</f>
        <v>138649.02598690681</v>
      </c>
      <c r="Z115" s="124">
        <f t="shared" si="28"/>
        <v>141280.54319119538</v>
      </c>
      <c r="AA115" s="124">
        <f t="shared" si="28"/>
        <v>131253.22045796269</v>
      </c>
      <c r="AB115" s="14"/>
    </row>
    <row r="116" spans="2:28">
      <c r="B116" s="13"/>
      <c r="C116" s="125" t="str">
        <f t="shared" si="24"/>
        <v>EXP</v>
      </c>
      <c r="D116" s="125" t="str">
        <f t="shared" si="24"/>
        <v>Exports</v>
      </c>
      <c r="E116" s="125" t="str">
        <f t="shared" si="24"/>
        <v>MF3</v>
      </c>
      <c r="F116" s="125" t="str">
        <f t="shared" si="24"/>
        <v>Non-metallic minerals</v>
      </c>
      <c r="G116" s="124">
        <f t="shared" ref="G116:X116" si="29">G32/SUM(G$30:G$33)*SUM(G$34:G$35)+G32</f>
        <v>72775.539105599048</v>
      </c>
      <c r="H116" s="124">
        <f t="shared" si="29"/>
        <v>73847.095921277651</v>
      </c>
      <c r="I116" s="124">
        <f t="shared" si="29"/>
        <v>76324.23498434783</v>
      </c>
      <c r="J116" s="124">
        <f t="shared" si="29"/>
        <v>77268.65244539571</v>
      </c>
      <c r="K116" s="124">
        <f t="shared" si="29"/>
        <v>79587.135312533006</v>
      </c>
      <c r="L116" s="124">
        <f t="shared" si="29"/>
        <v>84354.13443934024</v>
      </c>
      <c r="M116" s="124">
        <f t="shared" si="29"/>
        <v>80823.364206132654</v>
      </c>
      <c r="N116" s="124">
        <f t="shared" si="29"/>
        <v>81506.556828975517</v>
      </c>
      <c r="O116" s="124">
        <f t="shared" si="29"/>
        <v>81222.822145325903</v>
      </c>
      <c r="P116" s="124">
        <f t="shared" si="29"/>
        <v>72874.883593730992</v>
      </c>
      <c r="Q116" s="124">
        <f t="shared" si="29"/>
        <v>85849.039857204596</v>
      </c>
      <c r="R116" s="124">
        <f t="shared" si="29"/>
        <v>87639.140936946584</v>
      </c>
      <c r="S116" s="124">
        <f t="shared" si="29"/>
        <v>96743.492549087197</v>
      </c>
      <c r="T116" s="124">
        <f t="shared" si="29"/>
        <v>104433.2491953587</v>
      </c>
      <c r="U116" s="124">
        <f t="shared" si="29"/>
        <v>110737.44046595186</v>
      </c>
      <c r="V116" s="124">
        <f t="shared" si="29"/>
        <v>111340.97302868924</v>
      </c>
      <c r="W116" s="124">
        <f t="shared" si="29"/>
        <v>111569.58710657278</v>
      </c>
      <c r="X116" s="124">
        <f t="shared" si="29"/>
        <v>112647.95846846059</v>
      </c>
      <c r="Y116" s="124">
        <f t="shared" ref="Y116:AA116" si="30">Y32/SUM(Y$30:Y$33)*SUM(Y$34:Y$35)+Y32</f>
        <v>110453.40828619598</v>
      </c>
      <c r="Z116" s="124">
        <f t="shared" si="30"/>
        <v>102977.6145247954</v>
      </c>
      <c r="AA116" s="124">
        <f t="shared" si="30"/>
        <v>97150.067771224014</v>
      </c>
      <c r="AB116" s="14"/>
    </row>
    <row r="117" spans="2:28">
      <c r="B117" s="13"/>
      <c r="C117" s="125" t="str">
        <f t="shared" si="24"/>
        <v>EXP</v>
      </c>
      <c r="D117" s="125" t="str">
        <f t="shared" si="24"/>
        <v>Exports</v>
      </c>
      <c r="E117" s="125" t="str">
        <f t="shared" si="24"/>
        <v>MF4</v>
      </c>
      <c r="F117" s="125" t="str">
        <f t="shared" si="24"/>
        <v>Fossil energy materials/carriers</v>
      </c>
      <c r="G117" s="124">
        <f t="shared" ref="G117:X117" si="31">G33/SUM(G$30:G$33)*SUM(G$34:G$35)+G33</f>
        <v>140137.97892111886</v>
      </c>
      <c r="H117" s="124">
        <f t="shared" si="31"/>
        <v>142613.00115201477</v>
      </c>
      <c r="I117" s="124">
        <f t="shared" si="31"/>
        <v>149868.51283720904</v>
      </c>
      <c r="J117" s="124">
        <f t="shared" si="31"/>
        <v>155489.25952547111</v>
      </c>
      <c r="K117" s="124">
        <f t="shared" si="31"/>
        <v>170317.12835780319</v>
      </c>
      <c r="L117" s="124">
        <f t="shared" si="31"/>
        <v>176163.61579041521</v>
      </c>
      <c r="M117" s="124">
        <f t="shared" si="31"/>
        <v>193027.91572860346</v>
      </c>
      <c r="N117" s="124">
        <f t="shared" si="31"/>
        <v>213193.55237043081</v>
      </c>
      <c r="O117" s="124">
        <f t="shared" si="31"/>
        <v>210870.81020216717</v>
      </c>
      <c r="P117" s="124">
        <f t="shared" si="31"/>
        <v>203930.68122792503</v>
      </c>
      <c r="Q117" s="124">
        <f t="shared" si="31"/>
        <v>214131.97189551336</v>
      </c>
      <c r="R117" s="124">
        <f t="shared" si="31"/>
        <v>216727.19444783105</v>
      </c>
      <c r="S117" s="124">
        <f t="shared" si="31"/>
        <v>243004.27869575104</v>
      </c>
      <c r="T117" s="124">
        <f t="shared" si="31"/>
        <v>250550.50085465584</v>
      </c>
      <c r="U117" s="124">
        <f t="shared" si="31"/>
        <v>246085.27610049836</v>
      </c>
      <c r="V117" s="124">
        <f t="shared" si="31"/>
        <v>254865.21540964011</v>
      </c>
      <c r="W117" s="124">
        <f t="shared" si="31"/>
        <v>274002.41551419761</v>
      </c>
      <c r="X117" s="124">
        <f t="shared" si="31"/>
        <v>294105.43216305447</v>
      </c>
      <c r="Y117" s="124">
        <f t="shared" ref="Y117:AA117" si="32">Y33/SUM(Y$30:Y$33)*SUM(Y$34:Y$35)+Y33</f>
        <v>284127.21722468158</v>
      </c>
      <c r="Z117" s="124">
        <f t="shared" si="32"/>
        <v>267475.52417206019</v>
      </c>
      <c r="AA117" s="124">
        <f t="shared" si="32"/>
        <v>241287.04216945017</v>
      </c>
      <c r="AB117" s="14"/>
    </row>
    <row r="118" spans="2:28">
      <c r="B118" s="13"/>
      <c r="C118" s="126" t="str">
        <f t="shared" ref="C118:X118" si="33">C36</f>
        <v>DMC</v>
      </c>
      <c r="D118" s="126" t="str">
        <f t="shared" si="33"/>
        <v>Domestic material consumption</v>
      </c>
      <c r="E118" s="126" t="str">
        <f t="shared" si="33"/>
        <v>TOTAL</v>
      </c>
      <c r="F118" s="127" t="str">
        <f t="shared" si="33"/>
        <v>Total</v>
      </c>
      <c r="G118" s="128">
        <f t="shared" si="33"/>
        <v>6595481.5640000002</v>
      </c>
      <c r="H118" s="128">
        <f t="shared" si="33"/>
        <v>6620375.1359999999</v>
      </c>
      <c r="I118" s="128">
        <f t="shared" si="33"/>
        <v>6680664.2970000003</v>
      </c>
      <c r="J118" s="128">
        <f t="shared" si="33"/>
        <v>6746353.0209999997</v>
      </c>
      <c r="K118" s="128">
        <f t="shared" si="33"/>
        <v>7058697.1390000004</v>
      </c>
      <c r="L118" s="128">
        <f t="shared" si="33"/>
        <v>7117134.2929999996</v>
      </c>
      <c r="M118" s="128">
        <f t="shared" si="33"/>
        <v>7291236.1540000001</v>
      </c>
      <c r="N118" s="128">
        <f t="shared" si="33"/>
        <v>7565973.875</v>
      </c>
      <c r="O118" s="128">
        <f t="shared" si="33"/>
        <v>7421672.1639999999</v>
      </c>
      <c r="P118" s="128">
        <f t="shared" si="33"/>
        <v>6515743.4630000005</v>
      </c>
      <c r="Q118" s="128">
        <f t="shared" si="33"/>
        <v>6323733.8370000003</v>
      </c>
      <c r="R118" s="128">
        <f t="shared" si="33"/>
        <v>6657404.7580000004</v>
      </c>
      <c r="S118" s="128">
        <f t="shared" si="33"/>
        <v>6143666.4709999999</v>
      </c>
      <c r="T118" s="128">
        <f t="shared" si="33"/>
        <v>5986876.415</v>
      </c>
      <c r="U118" s="128">
        <f t="shared" si="33"/>
        <v>6050505.2620000001</v>
      </c>
      <c r="V118" s="128">
        <f t="shared" si="33"/>
        <v>6042912.1830000002</v>
      </c>
      <c r="W118" s="128">
        <f t="shared" si="33"/>
        <v>6033493.7529999996</v>
      </c>
      <c r="X118" s="128">
        <f t="shared" si="33"/>
        <v>6230132.9369999999</v>
      </c>
      <c r="Y118" s="128">
        <f t="shared" ref="Y118:AA118" si="34">Y36</f>
        <v>6321814.9119999995</v>
      </c>
      <c r="Z118" s="128">
        <f t="shared" si="34"/>
        <v>6278956.7460000003</v>
      </c>
      <c r="AA118" s="128">
        <f t="shared" si="34"/>
        <v>5975951.6880000001</v>
      </c>
      <c r="AB118" s="14"/>
    </row>
    <row r="119" spans="2:28">
      <c r="B119" s="13"/>
      <c r="C119" s="126" t="str">
        <f t="shared" ref="C119:F122" si="35">C37</f>
        <v>DMC</v>
      </c>
      <c r="D119" s="126" t="str">
        <f t="shared" si="35"/>
        <v>Domestic material consumption</v>
      </c>
      <c r="E119" s="126" t="str">
        <f t="shared" si="35"/>
        <v>MF1</v>
      </c>
      <c r="F119" s="129" t="str">
        <f t="shared" si="35"/>
        <v>Biomass</v>
      </c>
      <c r="G119" s="124">
        <f t="shared" ref="G119:X119" si="36">G37/SUM(G$37:G$40)*SUM(G$41:G$42)+G37</f>
        <v>1494884.5174207909</v>
      </c>
      <c r="H119" s="124">
        <f t="shared" si="36"/>
        <v>1482250.9622014971</v>
      </c>
      <c r="I119" s="124">
        <f t="shared" si="36"/>
        <v>1487619.4606874236</v>
      </c>
      <c r="J119" s="124">
        <f t="shared" si="36"/>
        <v>1378080.6981863491</v>
      </c>
      <c r="K119" s="124">
        <f t="shared" si="36"/>
        <v>1576692.7942792603</v>
      </c>
      <c r="L119" s="124">
        <f t="shared" si="36"/>
        <v>1498909.0333051465</v>
      </c>
      <c r="M119" s="124">
        <f t="shared" si="36"/>
        <v>1418420.3177161759</v>
      </c>
      <c r="N119" s="124">
        <f t="shared" si="36"/>
        <v>1491493.7449785925</v>
      </c>
      <c r="O119" s="124">
        <f t="shared" si="36"/>
        <v>1520039.1529051233</v>
      </c>
      <c r="P119" s="124">
        <f t="shared" si="36"/>
        <v>1465511.1666672772</v>
      </c>
      <c r="Q119" s="124">
        <f t="shared" si="36"/>
        <v>1422078.8187196252</v>
      </c>
      <c r="R119" s="124">
        <f t="shared" si="36"/>
        <v>1496181.5090878769</v>
      </c>
      <c r="S119" s="124">
        <f t="shared" si="36"/>
        <v>1430266.3090477036</v>
      </c>
      <c r="T119" s="124">
        <f t="shared" si="36"/>
        <v>1461225.3158273599</v>
      </c>
      <c r="U119" s="124">
        <f t="shared" si="36"/>
        <v>1568584.6847374593</v>
      </c>
      <c r="V119" s="124">
        <f t="shared" si="36"/>
        <v>1451510.0662520975</v>
      </c>
      <c r="W119" s="124">
        <f t="shared" si="36"/>
        <v>1482824.797352754</v>
      </c>
      <c r="X119" s="124">
        <f t="shared" si="36"/>
        <v>1535088.4184228333</v>
      </c>
      <c r="Y119" s="124">
        <f t="shared" ref="Y119:AA119" si="37">Y37/SUM(Y$37:Y$40)*SUM(Y$41:Y$42)+Y37</f>
        <v>1494662.4241143044</v>
      </c>
      <c r="Z119" s="124">
        <f t="shared" si="37"/>
        <v>1477688.6713862743</v>
      </c>
      <c r="AA119" s="124">
        <f t="shared" si="37"/>
        <v>1460633.3340328212</v>
      </c>
      <c r="AB119" s="14"/>
    </row>
    <row r="120" spans="2:28">
      <c r="B120" s="13"/>
      <c r="C120" s="126" t="str">
        <f t="shared" si="35"/>
        <v>DMC</v>
      </c>
      <c r="D120" s="126" t="str">
        <f t="shared" si="35"/>
        <v>Domestic material consumption</v>
      </c>
      <c r="E120" s="126" t="str">
        <f t="shared" si="35"/>
        <v>MF2</v>
      </c>
      <c r="F120" s="129" t="str">
        <f t="shared" si="35"/>
        <v>Metal ores (gross ores)</v>
      </c>
      <c r="G120" s="124">
        <f t="shared" ref="G120:X120" si="38">G38/SUM(G$37:G$40)*SUM(G$41:G$42)+G38</f>
        <v>303894.28615380946</v>
      </c>
      <c r="H120" s="124">
        <f t="shared" si="38"/>
        <v>286490.77889804565</v>
      </c>
      <c r="I120" s="124">
        <f t="shared" si="38"/>
        <v>273423.2527015782</v>
      </c>
      <c r="J120" s="124">
        <f t="shared" si="38"/>
        <v>286007.88440912653</v>
      </c>
      <c r="K120" s="124">
        <f t="shared" si="38"/>
        <v>302931.09151719551</v>
      </c>
      <c r="L120" s="124">
        <f t="shared" si="38"/>
        <v>309704.62354109442</v>
      </c>
      <c r="M120" s="124">
        <f t="shared" si="38"/>
        <v>316358.48607765947</v>
      </c>
      <c r="N120" s="124">
        <f t="shared" si="38"/>
        <v>316392.96311425837</v>
      </c>
      <c r="O120" s="124">
        <f t="shared" si="38"/>
        <v>303486.78322032478</v>
      </c>
      <c r="P120" s="124">
        <f t="shared" si="38"/>
        <v>199686.0071480906</v>
      </c>
      <c r="Q120" s="124">
        <f t="shared" si="38"/>
        <v>272118.26938029128</v>
      </c>
      <c r="R120" s="124">
        <f t="shared" si="38"/>
        <v>277020.77766955813</v>
      </c>
      <c r="S120" s="124">
        <f t="shared" si="38"/>
        <v>259454.79307782435</v>
      </c>
      <c r="T120" s="124">
        <f t="shared" si="38"/>
        <v>305192.38812404987</v>
      </c>
      <c r="U120" s="124">
        <f t="shared" si="38"/>
        <v>288823.35466557246</v>
      </c>
      <c r="V120" s="124">
        <f t="shared" si="38"/>
        <v>312896.7931014903</v>
      </c>
      <c r="W120" s="124">
        <f t="shared" si="38"/>
        <v>322929.66199849907</v>
      </c>
      <c r="X120" s="124">
        <f t="shared" si="38"/>
        <v>326874.95562956599</v>
      </c>
      <c r="Y120" s="124">
        <f t="shared" ref="Y120:AA120" si="39">Y38/SUM(Y$37:Y$40)*SUM(Y$41:Y$42)+Y38</f>
        <v>350770.54663286975</v>
      </c>
      <c r="Z120" s="124">
        <f t="shared" si="39"/>
        <v>334187.93045378267</v>
      </c>
      <c r="AA120" s="124">
        <f t="shared" si="39"/>
        <v>312513.33203699323</v>
      </c>
      <c r="AB120" s="14"/>
    </row>
    <row r="121" spans="2:28">
      <c r="B121" s="13"/>
      <c r="C121" s="126" t="str">
        <f t="shared" si="35"/>
        <v>DMC</v>
      </c>
      <c r="D121" s="126" t="str">
        <f t="shared" si="35"/>
        <v>Domestic material consumption</v>
      </c>
      <c r="E121" s="126" t="str">
        <f t="shared" si="35"/>
        <v>MF3</v>
      </c>
      <c r="F121" s="129" t="str">
        <f t="shared" si="35"/>
        <v>Non-metallic minerals</v>
      </c>
      <c r="G121" s="124">
        <f t="shared" ref="G121:X121" si="40">G39/SUM(G$37:G$40)*SUM(G$41:G$42)+G39</f>
        <v>3173111.8748808224</v>
      </c>
      <c r="H121" s="124">
        <f t="shared" si="40"/>
        <v>3235521.2499298276</v>
      </c>
      <c r="I121" s="124">
        <f t="shared" si="40"/>
        <v>3262946.7894018423</v>
      </c>
      <c r="J121" s="124">
        <f t="shared" si="40"/>
        <v>3372730.4552411931</v>
      </c>
      <c r="K121" s="124">
        <f t="shared" si="40"/>
        <v>3467558.105352568</v>
      </c>
      <c r="L121" s="124">
        <f t="shared" si="40"/>
        <v>3604966.2539419169</v>
      </c>
      <c r="M121" s="124">
        <f t="shared" si="40"/>
        <v>3846738.4684097501</v>
      </c>
      <c r="N121" s="124">
        <f t="shared" si="40"/>
        <v>4089697.6799984737</v>
      </c>
      <c r="O121" s="124">
        <f t="shared" si="40"/>
        <v>3938847.2729622792</v>
      </c>
      <c r="P121" s="124">
        <f t="shared" si="40"/>
        <v>3319047.5865781992</v>
      </c>
      <c r="Q121" s="124">
        <f t="shared" si="40"/>
        <v>3085574.3575246809</v>
      </c>
      <c r="R121" s="124">
        <f t="shared" si="40"/>
        <v>3323603.0297063473</v>
      </c>
      <c r="S121" s="124">
        <f t="shared" si="40"/>
        <v>2928339.4043414257</v>
      </c>
      <c r="T121" s="124">
        <f t="shared" si="40"/>
        <v>2758201.6165097593</v>
      </c>
      <c r="U121" s="124">
        <f t="shared" si="40"/>
        <v>2767414.9612080739</v>
      </c>
      <c r="V121" s="124">
        <f t="shared" si="40"/>
        <v>2827774.8298521456</v>
      </c>
      <c r="W121" s="124">
        <f t="shared" si="40"/>
        <v>2827081.6908322009</v>
      </c>
      <c r="X121" s="124">
        <f t="shared" si="40"/>
        <v>2967966.7890009806</v>
      </c>
      <c r="Y121" s="124">
        <f t="shared" ref="Y121:AA121" si="41">Y39/SUM(Y$37:Y$40)*SUM(Y$41:Y$42)+Y39</f>
        <v>3077832.3205819763</v>
      </c>
      <c r="Z121" s="124">
        <f t="shared" si="41"/>
        <v>3168602.4275005665</v>
      </c>
      <c r="AA121" s="124">
        <f t="shared" si="41"/>
        <v>3098834.8728769971</v>
      </c>
      <c r="AB121" s="14"/>
    </row>
    <row r="122" spans="2:28">
      <c r="B122" s="13"/>
      <c r="C122" s="126" t="str">
        <f t="shared" si="35"/>
        <v>DMC</v>
      </c>
      <c r="D122" s="126" t="str">
        <f t="shared" si="35"/>
        <v>Domestic material consumption</v>
      </c>
      <c r="E122" s="126" t="str">
        <f t="shared" si="35"/>
        <v>MF4</v>
      </c>
      <c r="F122" s="129" t="str">
        <f t="shared" si="35"/>
        <v>Fossil energy materials/carriers</v>
      </c>
      <c r="G122" s="124">
        <f t="shared" ref="G122:X122" si="42">G40/SUM(G$37:G$40)*SUM(G$41:G$42)+G40</f>
        <v>1623590.8875445777</v>
      </c>
      <c r="H122" s="124">
        <f t="shared" si="42"/>
        <v>1616112.14597063</v>
      </c>
      <c r="I122" s="124">
        <f t="shared" si="42"/>
        <v>1656674.7952091563</v>
      </c>
      <c r="J122" s="124">
        <f t="shared" si="42"/>
        <v>1709533.9831633314</v>
      </c>
      <c r="K122" s="124">
        <f t="shared" si="42"/>
        <v>1711515.1478509763</v>
      </c>
      <c r="L122" s="124">
        <f t="shared" si="42"/>
        <v>1703554.3832118423</v>
      </c>
      <c r="M122" s="124">
        <f t="shared" si="42"/>
        <v>1709718.8827964142</v>
      </c>
      <c r="N122" s="124">
        <f t="shared" si="42"/>
        <v>1668389.4869086754</v>
      </c>
      <c r="O122" s="124">
        <f t="shared" si="42"/>
        <v>1659298.9559122729</v>
      </c>
      <c r="P122" s="124">
        <f t="shared" si="42"/>
        <v>1531498.7036064332</v>
      </c>
      <c r="Q122" s="124">
        <f t="shared" si="42"/>
        <v>1543962.3913754022</v>
      </c>
      <c r="R122" s="124">
        <f t="shared" si="42"/>
        <v>1560599.4415362177</v>
      </c>
      <c r="S122" s="124">
        <f t="shared" si="42"/>
        <v>1525605.9645330459</v>
      </c>
      <c r="T122" s="124">
        <f t="shared" si="42"/>
        <v>1462257.0945388305</v>
      </c>
      <c r="U122" s="124">
        <f t="shared" si="42"/>
        <v>1425682.2603888942</v>
      </c>
      <c r="V122" s="124">
        <f t="shared" si="42"/>
        <v>1450730.4947942665</v>
      </c>
      <c r="W122" s="124">
        <f t="shared" si="42"/>
        <v>1400657.6028165461</v>
      </c>
      <c r="X122" s="124">
        <f t="shared" si="42"/>
        <v>1400202.7739466201</v>
      </c>
      <c r="Y122" s="124">
        <f t="shared" ref="Y122:AA122" si="43">Y40/SUM(Y$37:Y$40)*SUM(Y$41:Y$42)+Y40</f>
        <v>1398549.6216708492</v>
      </c>
      <c r="Z122" s="124">
        <f t="shared" si="43"/>
        <v>1298477.7166593762</v>
      </c>
      <c r="AA122" s="124">
        <f t="shared" si="43"/>
        <v>1103970.1490531883</v>
      </c>
      <c r="AB122" s="14"/>
    </row>
    <row r="123" spans="2:28">
      <c r="B123" s="13"/>
      <c r="C123" s="130" t="str">
        <f t="shared" ref="C123:X123" si="44">C43</f>
        <v>DMI</v>
      </c>
      <c r="D123" s="130" t="str">
        <f t="shared" si="44"/>
        <v>Direct material inputs</v>
      </c>
      <c r="E123" s="130" t="str">
        <f t="shared" si="44"/>
        <v>TOTAL</v>
      </c>
      <c r="F123" s="127" t="str">
        <f t="shared" si="44"/>
        <v>Total</v>
      </c>
      <c r="G123" s="128">
        <f t="shared" si="44"/>
        <v>7037903.9570000004</v>
      </c>
      <c r="H123" s="128">
        <f t="shared" si="44"/>
        <v>7061627.6890000002</v>
      </c>
      <c r="I123" s="128">
        <f t="shared" si="44"/>
        <v>7148540.665</v>
      </c>
      <c r="J123" s="128">
        <f t="shared" si="44"/>
        <v>7225976.0460000001</v>
      </c>
      <c r="K123" s="128">
        <f t="shared" si="44"/>
        <v>7563926.0049999999</v>
      </c>
      <c r="L123" s="128">
        <f t="shared" si="44"/>
        <v>7649163.4720000001</v>
      </c>
      <c r="M123" s="128">
        <f t="shared" si="44"/>
        <v>7846937.8830000004</v>
      </c>
      <c r="N123" s="128">
        <f t="shared" si="44"/>
        <v>8135576.0279999999</v>
      </c>
      <c r="O123" s="128">
        <f t="shared" si="44"/>
        <v>8003450.9859999996</v>
      </c>
      <c r="P123" s="128">
        <f t="shared" si="44"/>
        <v>7062612.7549999999</v>
      </c>
      <c r="Q123" s="128">
        <f t="shared" si="44"/>
        <v>6927985.2429999998</v>
      </c>
      <c r="R123" s="128">
        <f t="shared" si="44"/>
        <v>7282120.1799999997</v>
      </c>
      <c r="S123" s="128">
        <f t="shared" si="44"/>
        <v>6813559.818</v>
      </c>
      <c r="T123" s="128">
        <f t="shared" si="44"/>
        <v>6687336.7290000003</v>
      </c>
      <c r="U123" s="128">
        <f t="shared" si="44"/>
        <v>6760872.2070000004</v>
      </c>
      <c r="V123" s="128">
        <f t="shared" si="44"/>
        <v>6759672.2259999998</v>
      </c>
      <c r="W123" s="128">
        <f t="shared" si="44"/>
        <v>6772404.841</v>
      </c>
      <c r="X123" s="128">
        <f t="shared" si="44"/>
        <v>6995067.1399999997</v>
      </c>
      <c r="Y123" s="128">
        <f t="shared" ref="Y123:AA123" si="45">Y43</f>
        <v>7067508.858</v>
      </c>
      <c r="Z123" s="128">
        <f t="shared" si="45"/>
        <v>7024491.1529999999</v>
      </c>
      <c r="AA123" s="128">
        <f t="shared" si="45"/>
        <v>6694225.9749999996</v>
      </c>
      <c r="AB123" s="14"/>
    </row>
    <row r="124" spans="2:28">
      <c r="B124" s="13"/>
      <c r="C124" s="130" t="str">
        <f t="shared" ref="C124:F127" si="46">C44</f>
        <v>DMI</v>
      </c>
      <c r="D124" s="130" t="str">
        <f t="shared" si="46"/>
        <v>Direct material inputs</v>
      </c>
      <c r="E124" s="130" t="str">
        <f t="shared" si="46"/>
        <v>MF1</v>
      </c>
      <c r="F124" s="129" t="str">
        <f t="shared" si="46"/>
        <v>Biomass</v>
      </c>
      <c r="G124" s="131">
        <f t="shared" ref="G124:X124" si="47">G44/SUM(G$44:G$47)*SUM(G$48:G$49)+G44</f>
        <v>1628415.985125833</v>
      </c>
      <c r="H124" s="131">
        <f t="shared" si="47"/>
        <v>1611855.1635888277</v>
      </c>
      <c r="I124" s="131">
        <f t="shared" si="47"/>
        <v>1623142.6251479618</v>
      </c>
      <c r="J124" s="131">
        <f t="shared" si="47"/>
        <v>1516183.350579774</v>
      </c>
      <c r="K124" s="131">
        <f t="shared" si="47"/>
        <v>1714206.0588451296</v>
      </c>
      <c r="L124" s="131">
        <f t="shared" si="47"/>
        <v>1650072.856953291</v>
      </c>
      <c r="M124" s="131">
        <f t="shared" si="47"/>
        <v>1575551.4648848358</v>
      </c>
      <c r="N124" s="131">
        <f t="shared" si="47"/>
        <v>1638441.4111298106</v>
      </c>
      <c r="O124" s="131">
        <f t="shared" si="47"/>
        <v>1677737.5188083127</v>
      </c>
      <c r="P124" s="131">
        <f t="shared" si="47"/>
        <v>1619690.5493964411</v>
      </c>
      <c r="Q124" s="131">
        <f t="shared" si="47"/>
        <v>1593369.0963695075</v>
      </c>
      <c r="R124" s="131">
        <f t="shared" si="47"/>
        <v>1669114.5405783684</v>
      </c>
      <c r="S124" s="131">
        <f t="shared" si="47"/>
        <v>1608299.4671860822</v>
      </c>
      <c r="T124" s="131">
        <f t="shared" si="47"/>
        <v>1659078.3836302815</v>
      </c>
      <c r="U124" s="131">
        <f t="shared" si="47"/>
        <v>1775187.2291280688</v>
      </c>
      <c r="V124" s="131">
        <f t="shared" si="47"/>
        <v>1666860.6300427299</v>
      </c>
      <c r="W124" s="131">
        <f t="shared" si="47"/>
        <v>1699847.1827211317</v>
      </c>
      <c r="X124" s="131">
        <f t="shared" si="47"/>
        <v>1749790.6418882702</v>
      </c>
      <c r="Y124" s="131">
        <f t="shared" ref="Y124:AA124" si="48">Y44/SUM(Y$44:Y$47)*SUM(Y$48:Y$49)+Y44</f>
        <v>1704594.1625050856</v>
      </c>
      <c r="Z124" s="131">
        <f t="shared" si="48"/>
        <v>1707418.4390889511</v>
      </c>
      <c r="AA124" s="131">
        <f t="shared" si="48"/>
        <v>1704135.7271965411</v>
      </c>
      <c r="AB124" s="14"/>
    </row>
    <row r="125" spans="2:28">
      <c r="B125" s="13"/>
      <c r="C125" s="130" t="str">
        <f t="shared" si="46"/>
        <v>DMI</v>
      </c>
      <c r="D125" s="130" t="str">
        <f t="shared" si="46"/>
        <v>Direct material inputs</v>
      </c>
      <c r="E125" s="130" t="str">
        <f t="shared" si="46"/>
        <v>MF2</v>
      </c>
      <c r="F125" s="129" t="str">
        <f t="shared" si="46"/>
        <v>Metal ores (gross ores)</v>
      </c>
      <c r="G125" s="131">
        <f t="shared" ref="G125:X125" si="49">G45/SUM(G$44:G$47)*SUM(G$48:G$49)+G45</f>
        <v>390890.02192442323</v>
      </c>
      <c r="H125" s="131">
        <f t="shared" si="49"/>
        <v>372159.39563802443</v>
      </c>
      <c r="I125" s="131">
        <f t="shared" si="49"/>
        <v>369323.92457359505</v>
      </c>
      <c r="J125" s="131">
        <f t="shared" si="49"/>
        <v>385009.88911161694</v>
      </c>
      <c r="K125" s="131">
        <f t="shared" si="49"/>
        <v>411300.72388978372</v>
      </c>
      <c r="L125" s="131">
        <f t="shared" si="49"/>
        <v>420145.83599066199</v>
      </c>
      <c r="M125" s="131">
        <f t="shared" si="49"/>
        <v>430190.56627624593</v>
      </c>
      <c r="N125" s="131">
        <f t="shared" si="49"/>
        <v>434145.85545129474</v>
      </c>
      <c r="O125" s="131">
        <f t="shared" si="49"/>
        <v>424634.78371207439</v>
      </c>
      <c r="P125" s="131">
        <f t="shared" si="49"/>
        <v>306401.01531656738</v>
      </c>
      <c r="Q125" s="131">
        <f t="shared" si="49"/>
        <v>394751.33085325791</v>
      </c>
      <c r="R125" s="131">
        <f t="shared" si="49"/>
        <v>413223.508130036</v>
      </c>
      <c r="S125" s="131">
        <f t="shared" si="49"/>
        <v>401514.87070321321</v>
      </c>
      <c r="T125" s="131">
        <f t="shared" si="49"/>
        <v>443336.51989573264</v>
      </c>
      <c r="U125" s="131">
        <f t="shared" si="49"/>
        <v>426290.90368477785</v>
      </c>
      <c r="V125" s="131">
        <f t="shared" si="49"/>
        <v>438464.10240827297</v>
      </c>
      <c r="W125" s="131">
        <f t="shared" si="49"/>
        <v>450480.01622986881</v>
      </c>
      <c r="X125" s="131">
        <f t="shared" si="49"/>
        <v>461390.75331004796</v>
      </c>
      <c r="Y125" s="131">
        <f t="shared" ref="Y125:AA125" si="50">Y45/SUM(Y$44:Y$47)*SUM(Y$48:Y$49)+Y45</f>
        <v>482606.84308934549</v>
      </c>
      <c r="Z125" s="131">
        <f t="shared" si="50"/>
        <v>468379.62037012674</v>
      </c>
      <c r="AA125" s="131">
        <f t="shared" si="50"/>
        <v>437246.86239608488</v>
      </c>
      <c r="AB125" s="14"/>
    </row>
    <row r="126" spans="2:28">
      <c r="B126" s="13"/>
      <c r="C126" s="130" t="str">
        <f t="shared" si="46"/>
        <v>DMI</v>
      </c>
      <c r="D126" s="130" t="str">
        <f t="shared" si="46"/>
        <v>Direct material inputs</v>
      </c>
      <c r="E126" s="130" t="str">
        <f t="shared" si="46"/>
        <v>MF3</v>
      </c>
      <c r="F126" s="129" t="str">
        <f t="shared" si="46"/>
        <v>Non-metallic minerals</v>
      </c>
      <c r="G126" s="131">
        <f t="shared" ref="G126:X126" si="51">G46/SUM(G$44:G$47)*SUM(G$48:G$49)+G46</f>
        <v>3257445.9065008559</v>
      </c>
      <c r="H126" s="131">
        <f t="shared" si="51"/>
        <v>3321995.5815287367</v>
      </c>
      <c r="I126" s="131">
        <f t="shared" si="51"/>
        <v>3352464.7726334953</v>
      </c>
      <c r="J126" s="131">
        <f t="shared" si="51"/>
        <v>3462337.2818811582</v>
      </c>
      <c r="K126" s="131">
        <f t="shared" si="51"/>
        <v>3560324.4550159704</v>
      </c>
      <c r="L126" s="131">
        <f t="shared" si="51"/>
        <v>3702774.5596733084</v>
      </c>
      <c r="M126" s="131">
        <f t="shared" si="51"/>
        <v>3943012.6121827927</v>
      </c>
      <c r="N126" s="131">
        <f t="shared" si="51"/>
        <v>4187843.5335655166</v>
      </c>
      <c r="O126" s="131">
        <f t="shared" si="51"/>
        <v>4036877.097277707</v>
      </c>
      <c r="P126" s="131">
        <f t="shared" si="51"/>
        <v>3406397.0421896833</v>
      </c>
      <c r="Q126" s="131">
        <f t="shared" si="51"/>
        <v>3186610.3814540389</v>
      </c>
      <c r="R126" s="131">
        <f t="shared" si="51"/>
        <v>3427574.6194617092</v>
      </c>
      <c r="S126" s="131">
        <f t="shared" si="51"/>
        <v>3040416.6289980384</v>
      </c>
      <c r="T126" s="131">
        <f t="shared" si="51"/>
        <v>2877541.1980522033</v>
      </c>
      <c r="U126" s="131">
        <f t="shared" si="51"/>
        <v>2893130.4157451768</v>
      </c>
      <c r="V126" s="131">
        <f t="shared" si="51"/>
        <v>2954398.7897130675</v>
      </c>
      <c r="W126" s="131">
        <f t="shared" si="51"/>
        <v>2954212.7300760467</v>
      </c>
      <c r="X126" s="131">
        <f t="shared" si="51"/>
        <v>3098029.7917611869</v>
      </c>
      <c r="Y126" s="131">
        <f t="shared" ref="Y126:AA126" si="52">Y46/SUM(Y$44:Y$47)*SUM(Y$48:Y$49)+Y46</f>
        <v>3205976.6164382435</v>
      </c>
      <c r="Z126" s="131">
        <f t="shared" si="52"/>
        <v>3290645.0113533614</v>
      </c>
      <c r="AA126" s="131">
        <f t="shared" si="52"/>
        <v>3215143.1065063458</v>
      </c>
      <c r="AB126" s="14"/>
    </row>
    <row r="127" spans="2:28">
      <c r="B127" s="13"/>
      <c r="C127" s="130" t="str">
        <f t="shared" si="46"/>
        <v>DMI</v>
      </c>
      <c r="D127" s="132" t="str">
        <f t="shared" si="46"/>
        <v>Direct material inputs</v>
      </c>
      <c r="E127" s="132" t="str">
        <f t="shared" si="46"/>
        <v>MF4</v>
      </c>
      <c r="F127" s="133" t="str">
        <f t="shared" si="46"/>
        <v>Fossil energy materials/carriers</v>
      </c>
      <c r="G127" s="131">
        <f t="shared" ref="G127:X127" si="53">G47/SUM(G$44:G$47)*SUM(G$48:G$49)+G47</f>
        <v>1761152.0434488875</v>
      </c>
      <c r="H127" s="131">
        <f t="shared" si="53"/>
        <v>1755617.5492444113</v>
      </c>
      <c r="I127" s="131">
        <f t="shared" si="53"/>
        <v>1803609.342644948</v>
      </c>
      <c r="J127" s="131">
        <f t="shared" si="53"/>
        <v>1862445.5224274506</v>
      </c>
      <c r="K127" s="131">
        <f t="shared" si="53"/>
        <v>1878094.7672491162</v>
      </c>
      <c r="L127" s="131">
        <f t="shared" si="53"/>
        <v>1876170.2193827382</v>
      </c>
      <c r="M127" s="131">
        <f t="shared" si="53"/>
        <v>1898183.2396561259</v>
      </c>
      <c r="N127" s="131">
        <f t="shared" si="53"/>
        <v>1875145.227853378</v>
      </c>
      <c r="O127" s="131">
        <f t="shared" si="53"/>
        <v>1864201.5852019058</v>
      </c>
      <c r="P127" s="131">
        <f t="shared" si="53"/>
        <v>1730124.1480973084</v>
      </c>
      <c r="Q127" s="131">
        <f t="shared" si="53"/>
        <v>1753254.4343231961</v>
      </c>
      <c r="R127" s="131">
        <f t="shared" si="53"/>
        <v>1772207.5128298863</v>
      </c>
      <c r="S127" s="131">
        <f t="shared" si="53"/>
        <v>1763328.8511126665</v>
      </c>
      <c r="T127" s="131">
        <f t="shared" si="53"/>
        <v>1707380.6264217829</v>
      </c>
      <c r="U127" s="131">
        <f t="shared" si="53"/>
        <v>1666263.6584419764</v>
      </c>
      <c r="V127" s="131">
        <f t="shared" si="53"/>
        <v>1699948.7038359295</v>
      </c>
      <c r="W127" s="131">
        <f t="shared" si="53"/>
        <v>1667864.9119729528</v>
      </c>
      <c r="X127" s="131">
        <f t="shared" si="53"/>
        <v>1685855.9530404953</v>
      </c>
      <c r="Y127" s="131">
        <f t="shared" ref="Y127:AA127" si="54">Y47/SUM(Y$44:Y$47)*SUM(Y$48:Y$49)+Y47</f>
        <v>1674331.2359673255</v>
      </c>
      <c r="Z127" s="131">
        <f t="shared" si="54"/>
        <v>1558048.0821875611</v>
      </c>
      <c r="AA127" s="131">
        <f t="shared" si="54"/>
        <v>1337700.2789010282</v>
      </c>
      <c r="AB127" s="14"/>
    </row>
    <row r="128" spans="2:28">
      <c r="B128" s="13"/>
      <c r="C128" s="109" t="s">
        <v>89</v>
      </c>
      <c r="D128" s="109" t="s">
        <v>290</v>
      </c>
      <c r="E128" s="109" t="str">
        <f>E103</f>
        <v>TOTAL</v>
      </c>
      <c r="F128" s="134" t="str">
        <f>F103</f>
        <v>Total</v>
      </c>
      <c r="G128" s="135">
        <f t="shared" ref="G128:H128" si="55">G108-G113</f>
        <v>1041702.1640000001</v>
      </c>
      <c r="H128" s="135">
        <f t="shared" si="55"/>
        <v>1021260.4469999999</v>
      </c>
      <c r="I128" s="135">
        <f>I108-I113</f>
        <v>1063471.5829999999</v>
      </c>
      <c r="J128" s="135">
        <f t="shared" ref="J128:T128" si="56">J108-J113</f>
        <v>1136031.6089999999</v>
      </c>
      <c r="K128" s="135">
        <f t="shared" si="56"/>
        <v>1164107.412</v>
      </c>
      <c r="L128" s="135">
        <f t="shared" si="56"/>
        <v>1162647.862</v>
      </c>
      <c r="M128" s="135">
        <f t="shared" si="56"/>
        <v>1183231.852</v>
      </c>
      <c r="N128" s="135">
        <f t="shared" si="56"/>
        <v>1199788.9890000001</v>
      </c>
      <c r="O128" s="135">
        <f t="shared" si="56"/>
        <v>1168660.362</v>
      </c>
      <c r="P128" s="135">
        <f t="shared" si="56"/>
        <v>932880.72499999998</v>
      </c>
      <c r="Q128" s="135">
        <f t="shared" si="56"/>
        <v>984864.78500000015</v>
      </c>
      <c r="R128" s="135">
        <f t="shared" si="56"/>
        <v>990647.68699999992</v>
      </c>
      <c r="S128" s="135">
        <f t="shared" si="56"/>
        <v>894774.37900000007</v>
      </c>
      <c r="T128" s="136">
        <f t="shared" si="56"/>
        <v>850280.30199999991</v>
      </c>
      <c r="U128" s="136">
        <f t="shared" ref="U128:V128" si="57">U108-U113</f>
        <v>859585.09400000016</v>
      </c>
      <c r="V128" s="136">
        <f t="shared" si="57"/>
        <v>919609.26800000004</v>
      </c>
      <c r="W128" s="136">
        <f t="shared" ref="W128:X128" si="58">W108-W113</f>
        <v>915636.63599999994</v>
      </c>
      <c r="X128" s="136">
        <f t="shared" si="58"/>
        <v>932229.71900000004</v>
      </c>
      <c r="Y128" s="136">
        <f t="shared" ref="Y128:AA128" si="59">Y108-Y113</f>
        <v>986787.33100000001</v>
      </c>
      <c r="Z128" s="136">
        <f t="shared" si="59"/>
        <v>953312.02299999993</v>
      </c>
      <c r="AA128" s="136">
        <f t="shared" si="59"/>
        <v>806944.53399999999</v>
      </c>
      <c r="AB128" s="14"/>
    </row>
    <row r="129" spans="2:28">
      <c r="B129" s="13"/>
      <c r="C129" s="109" t="s">
        <v>89</v>
      </c>
      <c r="D129" s="109" t="s">
        <v>290</v>
      </c>
      <c r="E129" s="109" t="str">
        <f>E104</f>
        <v>MF1</v>
      </c>
      <c r="F129" s="137" t="str">
        <f>F104</f>
        <v>Biomass</v>
      </c>
      <c r="G129" s="135">
        <f>G109-G114</f>
        <v>20439.964624999644</v>
      </c>
      <c r="H129" s="135">
        <f t="shared" ref="H129:T129" si="60">H109-H114</f>
        <v>28583.173504832026</v>
      </c>
      <c r="I129" s="135">
        <f t="shared" si="60"/>
        <v>32480.131766744627</v>
      </c>
      <c r="J129" s="135">
        <f t="shared" si="60"/>
        <v>29434.093483367556</v>
      </c>
      <c r="K129" s="135">
        <f t="shared" si="60"/>
        <v>34232.684969101683</v>
      </c>
      <c r="L129" s="135">
        <f t="shared" si="60"/>
        <v>20855.833687713923</v>
      </c>
      <c r="M129" s="135">
        <f t="shared" si="60"/>
        <v>15681.724783448852</v>
      </c>
      <c r="N129" s="135">
        <f t="shared" si="60"/>
        <v>41130.200769174844</v>
      </c>
      <c r="O129" s="135">
        <f t="shared" si="60"/>
        <v>25819.211953547172</v>
      </c>
      <c r="P129" s="135">
        <f t="shared" si="60"/>
        <v>591.49025921759312</v>
      </c>
      <c r="Q129" s="135">
        <f t="shared" si="60"/>
        <v>-8043.3516053101048</v>
      </c>
      <c r="R129" s="135">
        <f t="shared" si="60"/>
        <v>-1573.8849688637711</v>
      </c>
      <c r="S129" s="135">
        <f t="shared" si="60"/>
        <v>-7636.5227187644923</v>
      </c>
      <c r="T129" s="136">
        <f t="shared" si="60"/>
        <v>-22996.490321844554</v>
      </c>
      <c r="U129" s="136">
        <f t="shared" ref="U129:V129" si="61">U109-U114</f>
        <v>-16840.05606810574</v>
      </c>
      <c r="V129" s="136">
        <f t="shared" si="61"/>
        <v>-27680.61066331953</v>
      </c>
      <c r="W129" s="136">
        <f t="shared" ref="W129:X129" si="62">W109-W114</f>
        <v>-22572.062190802535</v>
      </c>
      <c r="X129" s="136">
        <f t="shared" si="62"/>
        <v>-13597.157399636897</v>
      </c>
      <c r="Y129" s="136">
        <f t="shared" ref="Y129:AA129" si="63">Y109-Y114</f>
        <v>3617.925668399228</v>
      </c>
      <c r="Z129" s="136">
        <f t="shared" si="63"/>
        <v>-12504.108686988009</v>
      </c>
      <c r="AA129" s="136">
        <f t="shared" si="63"/>
        <v>-37978.272125397605</v>
      </c>
      <c r="AB129" s="14"/>
    </row>
    <row r="130" spans="2:28">
      <c r="B130" s="13"/>
      <c r="C130" s="109" t="s">
        <v>89</v>
      </c>
      <c r="D130" s="109" t="s">
        <v>290</v>
      </c>
      <c r="E130" s="109" t="str">
        <f t="shared" ref="E130:F130" si="64">E105</f>
        <v>MF2</v>
      </c>
      <c r="F130" s="137" t="str">
        <f t="shared" si="64"/>
        <v>Metal ores (gross ores)</v>
      </c>
      <c r="G130" s="135">
        <f t="shared" ref="G130:T130" si="65">G110-G115</f>
        <v>151126.82676867596</v>
      </c>
      <c r="H130" s="135">
        <f t="shared" si="65"/>
        <v>138643.00302272182</v>
      </c>
      <c r="I130" s="135">
        <f t="shared" si="65"/>
        <v>129907.39915949335</v>
      </c>
      <c r="J130" s="135">
        <f t="shared" si="65"/>
        <v>145904.76496796159</v>
      </c>
      <c r="K130" s="135">
        <f t="shared" si="65"/>
        <v>161158.05302843399</v>
      </c>
      <c r="L130" s="135">
        <f t="shared" si="65"/>
        <v>168390.10268033785</v>
      </c>
      <c r="M130" s="135">
        <f t="shared" si="65"/>
        <v>171378.19724211577</v>
      </c>
      <c r="N130" s="135">
        <f t="shared" si="65"/>
        <v>174966.73719119016</v>
      </c>
      <c r="O130" s="135">
        <f t="shared" si="65"/>
        <v>161297.29877487774</v>
      </c>
      <c r="P130" s="135">
        <f t="shared" si="65"/>
        <v>59581.371791051555</v>
      </c>
      <c r="Q130" s="135">
        <f t="shared" si="65"/>
        <v>105088.41183053862</v>
      </c>
      <c r="R130" s="135">
        <f t="shared" si="65"/>
        <v>102562.1585705679</v>
      </c>
      <c r="S130" s="135">
        <f t="shared" si="65"/>
        <v>70467.918063320074</v>
      </c>
      <c r="T130" s="136">
        <f t="shared" si="65"/>
        <v>88521.712798779889</v>
      </c>
      <c r="U130" s="136">
        <f t="shared" ref="U130:V130" si="66">U110-U115</f>
        <v>96794.02169703861</v>
      </c>
      <c r="V130" s="136">
        <f t="shared" si="66"/>
        <v>121904.90824812485</v>
      </c>
      <c r="W130" s="136">
        <f t="shared" ref="W130:X130" si="67">W110-W115</f>
        <v>115018.03356523981</v>
      </c>
      <c r="X130" s="136">
        <f t="shared" si="67"/>
        <v>113762.65004346581</v>
      </c>
      <c r="Y130" s="136">
        <f t="shared" ref="Y130:AA130" si="68">Y110-Y115</f>
        <v>131162.91736572116</v>
      </c>
      <c r="Z130" s="136">
        <f t="shared" si="68"/>
        <v>113669.16399058464</v>
      </c>
      <c r="AA130" s="136">
        <f t="shared" si="68"/>
        <v>91389.266689873009</v>
      </c>
      <c r="AB130" s="14"/>
    </row>
    <row r="131" spans="2:28">
      <c r="B131" s="13"/>
      <c r="C131" s="109" t="s">
        <v>89</v>
      </c>
      <c r="D131" s="109" t="s">
        <v>290</v>
      </c>
      <c r="E131" s="109" t="str">
        <f t="shared" ref="E131:F131" si="69">E106</f>
        <v>MF3</v>
      </c>
      <c r="F131" s="137" t="str">
        <f t="shared" si="69"/>
        <v>Non-metallic minerals</v>
      </c>
      <c r="G131" s="135">
        <f t="shared" ref="G131:T131" si="70">G111-G116</f>
        <v>16275.265725459976</v>
      </c>
      <c r="H131" s="135">
        <f t="shared" si="70"/>
        <v>17802.991425150118</v>
      </c>
      <c r="I131" s="135">
        <f t="shared" si="70"/>
        <v>19133.196100109169</v>
      </c>
      <c r="J131" s="135">
        <f t="shared" si="70"/>
        <v>24983.462340219296</v>
      </c>
      <c r="K131" s="135">
        <f t="shared" si="70"/>
        <v>28168.697746815888</v>
      </c>
      <c r="L131" s="135">
        <f t="shared" si="70"/>
        <v>25735.697928821872</v>
      </c>
      <c r="M131" s="135">
        <f t="shared" si="70"/>
        <v>31890.625867022158</v>
      </c>
      <c r="N131" s="135">
        <f t="shared" si="70"/>
        <v>42926.052337439032</v>
      </c>
      <c r="O131" s="135">
        <f t="shared" si="70"/>
        <v>29964.587959645811</v>
      </c>
      <c r="P131" s="135">
        <f t="shared" si="70"/>
        <v>11588.048004732962</v>
      </c>
      <c r="Q131" s="135">
        <f t="shared" si="70"/>
        <v>12416.439279542348</v>
      </c>
      <c r="R131" s="135">
        <f t="shared" si="70"/>
        <v>15713.036847751777</v>
      </c>
      <c r="S131" s="135">
        <f t="shared" si="70"/>
        <v>-9753.3163681530423</v>
      </c>
      <c r="T131" s="136">
        <f t="shared" si="70"/>
        <v>-19983.351511901914</v>
      </c>
      <c r="U131" s="136">
        <f t="shared" ref="U131:V131" si="71">U111-U116</f>
        <v>-23413.180181186064</v>
      </c>
      <c r="V131" s="136">
        <f t="shared" si="71"/>
        <v>-25951.395064498982</v>
      </c>
      <c r="W131" s="136">
        <f t="shared" ref="W131:X131" si="72">W111-W116</f>
        <v>-21575.523891286764</v>
      </c>
      <c r="X131" s="136">
        <f t="shared" si="72"/>
        <v>-12169.956254265984</v>
      </c>
      <c r="Y131" s="136">
        <f t="shared" ref="Y131:AA131" si="73">Y111-Y116</f>
        <v>-4999.4161567019473</v>
      </c>
      <c r="Z131" s="136">
        <f t="shared" si="73"/>
        <v>7671.2280519257329</v>
      </c>
      <c r="AA131" s="136">
        <f t="shared" si="73"/>
        <v>10308.740151216218</v>
      </c>
      <c r="AB131" s="14"/>
    </row>
    <row r="132" spans="2:28">
      <c r="B132" s="13"/>
      <c r="C132" s="110" t="s">
        <v>89</v>
      </c>
      <c r="D132" s="220" t="s">
        <v>290</v>
      </c>
      <c r="E132" s="220" t="str">
        <f t="shared" ref="E132:F132" si="74">E107</f>
        <v>MF4</v>
      </c>
      <c r="F132" s="138" t="str">
        <f t="shared" si="74"/>
        <v>Fossil energy materials/carriers</v>
      </c>
      <c r="G132" s="139">
        <f t="shared" ref="G132:T132" si="75">G112-G117</f>
        <v>853860.10788086441</v>
      </c>
      <c r="H132" s="139">
        <f t="shared" si="75"/>
        <v>836231.27804729599</v>
      </c>
      <c r="I132" s="139">
        <f t="shared" si="75"/>
        <v>881950.85697365284</v>
      </c>
      <c r="J132" s="139">
        <f t="shared" si="75"/>
        <v>935709.28720845142</v>
      </c>
      <c r="K132" s="139">
        <f t="shared" si="75"/>
        <v>940547.97625564854</v>
      </c>
      <c r="L132" s="139">
        <f t="shared" si="75"/>
        <v>947666.22770312626</v>
      </c>
      <c r="M132" s="139">
        <f t="shared" si="75"/>
        <v>964281.30410741316</v>
      </c>
      <c r="N132" s="139">
        <f t="shared" si="75"/>
        <v>940765.99970219599</v>
      </c>
      <c r="O132" s="139">
        <f t="shared" si="75"/>
        <v>951579.26431192923</v>
      </c>
      <c r="P132" s="139">
        <f t="shared" si="75"/>
        <v>861119.8149449979</v>
      </c>
      <c r="Q132" s="139">
        <f t="shared" si="75"/>
        <v>875403.28549522907</v>
      </c>
      <c r="R132" s="139">
        <f t="shared" si="75"/>
        <v>873946.37455054396</v>
      </c>
      <c r="S132" s="139">
        <f t="shared" si="75"/>
        <v>841696.30002359743</v>
      </c>
      <c r="T132" s="140">
        <f t="shared" si="75"/>
        <v>804738.43003496667</v>
      </c>
      <c r="U132" s="140">
        <f t="shared" ref="U132:V132" si="76">U112-U117</f>
        <v>803044.30855225306</v>
      </c>
      <c r="V132" s="140">
        <f t="shared" si="76"/>
        <v>851336.3664796938</v>
      </c>
      <c r="W132" s="140">
        <f t="shared" ref="W132:X132" si="77">W112-W117</f>
        <v>844766.18751684949</v>
      </c>
      <c r="X132" s="140">
        <f t="shared" si="77"/>
        <v>844234.18061043706</v>
      </c>
      <c r="Y132" s="140">
        <f t="shared" ref="Y132:AA132" si="78">Y112-Y117</f>
        <v>857005.90512258164</v>
      </c>
      <c r="Z132" s="140">
        <f t="shared" si="78"/>
        <v>844475.73964447761</v>
      </c>
      <c r="AA132" s="140">
        <f t="shared" si="78"/>
        <v>743224.80028430838</v>
      </c>
      <c r="AB132" s="14"/>
    </row>
    <row r="133" spans="2:28" ht="12">
      <c r="B133" s="13"/>
      <c r="C133" s="51" t="s">
        <v>100</v>
      </c>
      <c r="D133" s="51"/>
      <c r="E133" s="51"/>
      <c r="F133" s="15"/>
      <c r="G133" s="15"/>
      <c r="H133" s="15"/>
      <c r="I133" s="15"/>
      <c r="J133" s="15"/>
      <c r="K133" s="15"/>
      <c r="L133" s="15"/>
      <c r="M133" s="15"/>
      <c r="N133" s="15"/>
      <c r="O133" s="15"/>
      <c r="P133" s="15"/>
      <c r="Q133" s="15"/>
      <c r="R133" s="15"/>
      <c r="S133" s="15"/>
      <c r="T133" s="15"/>
      <c r="U133" s="15"/>
      <c r="V133" s="15"/>
      <c r="W133" s="15"/>
      <c r="X133" s="15"/>
      <c r="Y133" s="15"/>
      <c r="Z133" s="15"/>
      <c r="AA133" s="15"/>
      <c r="AB133" s="14"/>
    </row>
    <row r="134" spans="2:28">
      <c r="B134" s="13"/>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4"/>
    </row>
    <row r="135" spans="2:28">
      <c r="B135" s="13"/>
      <c r="C135" s="21" t="s">
        <v>309</v>
      </c>
      <c r="D135" s="21"/>
      <c r="E135" s="21"/>
      <c r="F135" s="15"/>
      <c r="G135" s="15"/>
      <c r="H135" s="15"/>
      <c r="I135" s="15"/>
      <c r="J135" s="15"/>
      <c r="K135" s="15"/>
      <c r="L135" s="15"/>
      <c r="M135" s="15"/>
      <c r="N135" s="15"/>
      <c r="O135" s="15"/>
      <c r="P135" s="15"/>
      <c r="Q135" s="15"/>
      <c r="R135" s="15"/>
      <c r="S135" s="15"/>
      <c r="T135" s="15"/>
      <c r="U135" s="15"/>
      <c r="V135" s="15"/>
      <c r="W135" s="15"/>
      <c r="X135" s="15"/>
      <c r="Y135" s="15"/>
      <c r="Z135" s="15"/>
      <c r="AA135" s="15"/>
      <c r="AB135" s="14"/>
    </row>
    <row r="136" spans="2:28">
      <c r="B136" s="13"/>
      <c r="C136" s="22" t="s">
        <v>41</v>
      </c>
      <c r="D136" s="22"/>
      <c r="E136" s="22"/>
      <c r="F136" s="15"/>
      <c r="G136" s="15"/>
      <c r="H136" s="15"/>
      <c r="I136" s="15"/>
      <c r="J136" s="15"/>
      <c r="K136" s="15"/>
      <c r="L136" s="15"/>
      <c r="M136" s="15"/>
      <c r="N136" s="15"/>
      <c r="O136" s="15"/>
      <c r="P136" s="15"/>
      <c r="Q136" s="15"/>
      <c r="R136" s="15"/>
      <c r="S136" s="15"/>
      <c r="T136" s="15"/>
      <c r="U136" s="15"/>
      <c r="V136" s="15"/>
      <c r="W136" s="15"/>
      <c r="X136" s="15"/>
      <c r="Y136" s="15"/>
      <c r="Z136" s="15"/>
      <c r="AA136" s="15"/>
      <c r="AB136" s="14"/>
    </row>
    <row r="137" spans="2:28">
      <c r="B137" s="13"/>
      <c r="C137" s="89" t="s">
        <v>42</v>
      </c>
      <c r="D137" s="89" t="s">
        <v>77</v>
      </c>
      <c r="E137" s="89" t="s">
        <v>78</v>
      </c>
      <c r="F137" s="90" t="s">
        <v>79</v>
      </c>
      <c r="G137" s="8">
        <v>2000</v>
      </c>
      <c r="H137" s="9">
        <v>2001</v>
      </c>
      <c r="I137" s="8">
        <v>2002</v>
      </c>
      <c r="J137" s="9">
        <v>2003</v>
      </c>
      <c r="K137" s="8">
        <v>2004</v>
      </c>
      <c r="L137" s="9">
        <v>2005</v>
      </c>
      <c r="M137" s="8">
        <v>2006</v>
      </c>
      <c r="N137" s="9">
        <v>2007</v>
      </c>
      <c r="O137" s="8">
        <v>2008</v>
      </c>
      <c r="P137" s="9">
        <v>2009</v>
      </c>
      <c r="Q137" s="8">
        <v>2010</v>
      </c>
      <c r="R137" s="9">
        <v>2011</v>
      </c>
      <c r="S137" s="8">
        <v>2012</v>
      </c>
      <c r="T137" s="9">
        <v>2013</v>
      </c>
      <c r="U137" s="8">
        <v>2014</v>
      </c>
      <c r="V137" s="9">
        <v>2015</v>
      </c>
      <c r="W137" s="9">
        <v>2016</v>
      </c>
      <c r="X137" s="9">
        <v>2017</v>
      </c>
      <c r="Y137" s="9">
        <v>2018</v>
      </c>
      <c r="Z137" s="9">
        <v>2019</v>
      </c>
      <c r="AA137" s="9">
        <v>2020</v>
      </c>
      <c r="AB137" s="14"/>
    </row>
    <row r="138" spans="2:28">
      <c r="B138" s="13"/>
      <c r="C138" s="121" t="str">
        <f>C103</f>
        <v>DE</v>
      </c>
      <c r="D138" s="121" t="str">
        <f>D103</f>
        <v>Domestic extraction</v>
      </c>
      <c r="E138" s="122" t="str">
        <f>E103</f>
        <v>TOTAL</v>
      </c>
      <c r="F138" s="123" t="str">
        <f>F103</f>
        <v>Total</v>
      </c>
      <c r="G138" s="141">
        <f>G58</f>
        <v>12.948</v>
      </c>
      <c r="H138" s="141">
        <f t="shared" ref="H138:X142" si="79">H58</f>
        <v>13.037000000000001</v>
      </c>
      <c r="I138" s="141">
        <f t="shared" si="79"/>
        <v>13.048999999999999</v>
      </c>
      <c r="J138" s="141">
        <f t="shared" si="79"/>
        <v>12.988</v>
      </c>
      <c r="K138" s="141">
        <f t="shared" si="79"/>
        <v>13.595000000000001</v>
      </c>
      <c r="L138" s="141">
        <f t="shared" si="79"/>
        <v>13.685</v>
      </c>
      <c r="M138" s="141">
        <f t="shared" si="79"/>
        <v>13.992000000000001</v>
      </c>
      <c r="N138" s="141">
        <f t="shared" si="79"/>
        <v>14.535</v>
      </c>
      <c r="O138" s="141">
        <f t="shared" si="79"/>
        <v>14.231</v>
      </c>
      <c r="P138" s="141">
        <f t="shared" si="79"/>
        <v>12.676</v>
      </c>
      <c r="Q138" s="141">
        <f t="shared" si="79"/>
        <v>12.105</v>
      </c>
      <c r="R138" s="141">
        <f t="shared" si="79"/>
        <v>12.871</v>
      </c>
      <c r="S138" s="141">
        <f t="shared" si="79"/>
        <v>11.904999999999999</v>
      </c>
      <c r="T138" s="141">
        <f t="shared" si="79"/>
        <v>11.622</v>
      </c>
      <c r="U138" s="141">
        <f t="shared" si="79"/>
        <v>11.71</v>
      </c>
      <c r="V138" s="141">
        <f t="shared" si="79"/>
        <v>11.532999999999999</v>
      </c>
      <c r="W138" s="141">
        <f t="shared" si="79"/>
        <v>11.496</v>
      </c>
      <c r="X138" s="141">
        <f t="shared" si="79"/>
        <v>11.882</v>
      </c>
      <c r="Y138" s="141">
        <f t="shared" ref="Y138:Z138" si="80">Y58</f>
        <v>11.946</v>
      </c>
      <c r="Z138" s="141">
        <f t="shared" si="80"/>
        <v>11.917</v>
      </c>
      <c r="AA138" s="141">
        <f t="shared" ref="AA138" si="81">AA58</f>
        <v>11.555999999999999</v>
      </c>
      <c r="AB138" s="14"/>
    </row>
    <row r="139" spans="2:28">
      <c r="B139" s="13"/>
      <c r="C139" s="125" t="str">
        <f t="shared" ref="C139:F139" si="82">C104</f>
        <v>DE</v>
      </c>
      <c r="D139" s="125" t="str">
        <f t="shared" si="82"/>
        <v>Domestic extraction</v>
      </c>
      <c r="E139" s="125" t="str">
        <f t="shared" si="82"/>
        <v>MF1</v>
      </c>
      <c r="F139" s="125" t="str">
        <f t="shared" si="82"/>
        <v>Biomass</v>
      </c>
      <c r="G139" s="141">
        <f t="shared" ref="G139:V142" si="83">G59</f>
        <v>3.4209999999999998</v>
      </c>
      <c r="H139" s="141">
        <f t="shared" si="83"/>
        <v>3.3690000000000002</v>
      </c>
      <c r="I139" s="141">
        <f t="shared" si="83"/>
        <v>3.3639999999999999</v>
      </c>
      <c r="J139" s="141">
        <f t="shared" si="83"/>
        <v>3.1040000000000001</v>
      </c>
      <c r="K139" s="141">
        <f t="shared" si="83"/>
        <v>3.5390000000000001</v>
      </c>
      <c r="L139" s="141">
        <f t="shared" si="83"/>
        <v>3.379</v>
      </c>
      <c r="M139" s="141">
        <f t="shared" si="83"/>
        <v>3.1949999999999998</v>
      </c>
      <c r="N139" s="141">
        <f t="shared" si="83"/>
        <v>3.2949999999999999</v>
      </c>
      <c r="O139" s="141">
        <f t="shared" si="83"/>
        <v>3.3820000000000001</v>
      </c>
      <c r="P139" s="141">
        <f t="shared" si="83"/>
        <v>3.3079999999999998</v>
      </c>
      <c r="Q139" s="141">
        <f t="shared" si="83"/>
        <v>3.222</v>
      </c>
      <c r="R139" s="141">
        <f t="shared" si="83"/>
        <v>3.3820000000000001</v>
      </c>
      <c r="S139" s="141">
        <f t="shared" si="83"/>
        <v>3.2440000000000002</v>
      </c>
      <c r="T139" s="141">
        <f t="shared" si="83"/>
        <v>3.3380000000000001</v>
      </c>
      <c r="U139" s="141">
        <f t="shared" si="83"/>
        <v>3.556</v>
      </c>
      <c r="V139" s="141">
        <f t="shared" si="83"/>
        <v>3.3069999999999999</v>
      </c>
      <c r="W139" s="141">
        <f t="shared" si="79"/>
        <v>3.359</v>
      </c>
      <c r="X139" s="141">
        <f t="shared" si="79"/>
        <v>3.45</v>
      </c>
      <c r="Y139" s="141">
        <f t="shared" ref="Y139:Z139" si="84">Y59</f>
        <v>3.3149999999999999</v>
      </c>
      <c r="Z139" s="141">
        <f t="shared" si="84"/>
        <v>3.3069999999999999</v>
      </c>
      <c r="AA139" s="141">
        <f t="shared" ref="AA139" si="85">AA59</f>
        <v>3.3210000000000002</v>
      </c>
      <c r="AB139" s="14"/>
    </row>
    <row r="140" spans="2:28">
      <c r="B140" s="13"/>
      <c r="C140" s="125" t="str">
        <f t="shared" ref="C140:F140" si="86">C105</f>
        <v>DE</v>
      </c>
      <c r="D140" s="125" t="str">
        <f t="shared" si="86"/>
        <v>Domestic extraction</v>
      </c>
      <c r="E140" s="125" t="str">
        <f t="shared" si="86"/>
        <v>MF2</v>
      </c>
      <c r="F140" s="125" t="str">
        <f t="shared" si="86"/>
        <v>Metal ores (gross ores)</v>
      </c>
      <c r="G140" s="141">
        <f t="shared" si="83"/>
        <v>0.35099999999999998</v>
      </c>
      <c r="H140" s="141">
        <f t="shared" si="79"/>
        <v>0.33700000000000002</v>
      </c>
      <c r="I140" s="141">
        <f t="shared" si="79"/>
        <v>0.32500000000000001</v>
      </c>
      <c r="J140" s="141">
        <f t="shared" si="79"/>
        <v>0.31900000000000001</v>
      </c>
      <c r="K140" s="141">
        <f t="shared" si="79"/>
        <v>0.32200000000000001</v>
      </c>
      <c r="L140" s="141">
        <f t="shared" si="79"/>
        <v>0.32</v>
      </c>
      <c r="M140" s="141">
        <f t="shared" si="79"/>
        <v>0.32700000000000001</v>
      </c>
      <c r="N140" s="141">
        <f t="shared" si="79"/>
        <v>0.31900000000000001</v>
      </c>
      <c r="O140" s="141">
        <f t="shared" si="79"/>
        <v>0.31900000000000001</v>
      </c>
      <c r="P140" s="141">
        <f t="shared" si="79"/>
        <v>0.31</v>
      </c>
      <c r="Q140" s="141">
        <f t="shared" si="79"/>
        <v>0.372</v>
      </c>
      <c r="R140" s="141">
        <f t="shared" si="79"/>
        <v>0.38800000000000001</v>
      </c>
      <c r="S140" s="141">
        <f t="shared" si="79"/>
        <v>0.41799999999999998</v>
      </c>
      <c r="T140" s="141">
        <f t="shared" si="79"/>
        <v>0.48299999999999998</v>
      </c>
      <c r="U140" s="141">
        <f t="shared" si="79"/>
        <v>0.42699999999999999</v>
      </c>
      <c r="V140" s="141">
        <f t="shared" si="79"/>
        <v>0.42599999999999999</v>
      </c>
      <c r="W140" s="141">
        <f t="shared" si="79"/>
        <v>0.46400000000000002</v>
      </c>
      <c r="X140" s="141">
        <f t="shared" si="79"/>
        <v>0.47399999999999998</v>
      </c>
      <c r="Y140" s="141">
        <f t="shared" ref="Y140:Z140" si="87">Y60</f>
        <v>0.49</v>
      </c>
      <c r="Z140" s="141">
        <f t="shared" si="87"/>
        <v>0.49099999999999999</v>
      </c>
      <c r="AA140" s="141">
        <f t="shared" ref="AA140" si="88">AA60</f>
        <v>0.49199999999999999</v>
      </c>
      <c r="AB140" s="14"/>
    </row>
    <row r="141" spans="2:28">
      <c r="B141" s="13"/>
      <c r="C141" s="125" t="str">
        <f t="shared" ref="C141:F141" si="89">C106</f>
        <v>DE</v>
      </c>
      <c r="D141" s="125" t="str">
        <f t="shared" si="89"/>
        <v>Domestic extraction</v>
      </c>
      <c r="E141" s="125" t="str">
        <f t="shared" si="89"/>
        <v>MF3</v>
      </c>
      <c r="F141" s="125" t="str">
        <f t="shared" si="89"/>
        <v>Non-metallic minerals</v>
      </c>
      <c r="G141" s="141">
        <f t="shared" si="83"/>
        <v>7.3559999999999999</v>
      </c>
      <c r="H141" s="141">
        <f t="shared" si="79"/>
        <v>7.492</v>
      </c>
      <c r="I141" s="141">
        <f t="shared" si="79"/>
        <v>7.532</v>
      </c>
      <c r="J141" s="141">
        <f t="shared" si="79"/>
        <v>7.7389999999999999</v>
      </c>
      <c r="K141" s="141">
        <f t="shared" si="79"/>
        <v>7.9169999999999998</v>
      </c>
      <c r="L141" s="141">
        <f t="shared" si="79"/>
        <v>8.2159999999999993</v>
      </c>
      <c r="M141" s="141">
        <f t="shared" si="79"/>
        <v>8.7309999999999999</v>
      </c>
      <c r="N141" s="141">
        <f t="shared" si="79"/>
        <v>9.2289999999999992</v>
      </c>
      <c r="O141" s="141">
        <f t="shared" si="79"/>
        <v>8.8840000000000003</v>
      </c>
      <c r="P141" s="141">
        <f t="shared" si="79"/>
        <v>7.5</v>
      </c>
      <c r="Q141" s="141">
        <f t="shared" si="79"/>
        <v>6.9580000000000002</v>
      </c>
      <c r="R141" s="141">
        <f t="shared" si="79"/>
        <v>7.5039999999999996</v>
      </c>
      <c r="S141" s="141">
        <f t="shared" si="79"/>
        <v>6.657</v>
      </c>
      <c r="T141" s="141">
        <f t="shared" si="79"/>
        <v>6.2750000000000004</v>
      </c>
      <c r="U141" s="141">
        <f t="shared" si="79"/>
        <v>6.2839999999999998</v>
      </c>
      <c r="V141" s="141">
        <f t="shared" si="79"/>
        <v>6.4119999999999999</v>
      </c>
      <c r="W141" s="141">
        <f t="shared" si="79"/>
        <v>6.3849999999999998</v>
      </c>
      <c r="X141" s="141">
        <f t="shared" si="79"/>
        <v>6.6680000000000001</v>
      </c>
      <c r="Y141" s="141">
        <f t="shared" ref="Y141:Z141" si="90">Y61</f>
        <v>6.883</v>
      </c>
      <c r="Z141" s="141">
        <f t="shared" si="90"/>
        <v>7.0490000000000004</v>
      </c>
      <c r="AA141" s="141">
        <f t="shared" ref="AA141" si="91">AA61</f>
        <v>6.883</v>
      </c>
      <c r="AB141" s="14"/>
    </row>
    <row r="142" spans="2:28">
      <c r="B142" s="13"/>
      <c r="C142" s="125" t="str">
        <f t="shared" ref="C142:F142" si="92">C107</f>
        <v>DE</v>
      </c>
      <c r="D142" s="125" t="str">
        <f t="shared" si="92"/>
        <v>Domestic extraction</v>
      </c>
      <c r="E142" s="125" t="str">
        <f t="shared" si="92"/>
        <v>MF4</v>
      </c>
      <c r="F142" s="125" t="str">
        <f t="shared" si="92"/>
        <v>Fossil energy materials/carriers</v>
      </c>
      <c r="G142" s="141">
        <f t="shared" si="83"/>
        <v>1.821</v>
      </c>
      <c r="H142" s="141">
        <f t="shared" si="79"/>
        <v>1.839</v>
      </c>
      <c r="I142" s="141">
        <f t="shared" si="79"/>
        <v>1.829</v>
      </c>
      <c r="J142" s="141">
        <f t="shared" si="79"/>
        <v>1.825</v>
      </c>
      <c r="K142" s="141">
        <f t="shared" si="79"/>
        <v>1.8160000000000001</v>
      </c>
      <c r="L142" s="141">
        <f t="shared" si="79"/>
        <v>1.77</v>
      </c>
      <c r="M142" s="141">
        <f t="shared" si="79"/>
        <v>1.7390000000000001</v>
      </c>
      <c r="N142" s="141">
        <f t="shared" si="79"/>
        <v>1.6930000000000001</v>
      </c>
      <c r="O142" s="141">
        <f t="shared" si="79"/>
        <v>1.6459999999999999</v>
      </c>
      <c r="P142" s="141">
        <f t="shared" si="79"/>
        <v>1.5569999999999999</v>
      </c>
      <c r="Q142" s="141">
        <f t="shared" si="79"/>
        <v>1.5529999999999999</v>
      </c>
      <c r="R142" s="141">
        <f t="shared" si="79"/>
        <v>1.597</v>
      </c>
      <c r="S142" s="141">
        <f t="shared" si="79"/>
        <v>1.5860000000000001</v>
      </c>
      <c r="T142" s="141">
        <f t="shared" si="79"/>
        <v>1.526</v>
      </c>
      <c r="U142" s="141">
        <f t="shared" si="79"/>
        <v>1.444</v>
      </c>
      <c r="V142" s="141">
        <f t="shared" si="79"/>
        <v>1.3879999999999999</v>
      </c>
      <c r="W142" s="141">
        <f t="shared" si="79"/>
        <v>1.2889999999999999</v>
      </c>
      <c r="X142" s="141">
        <f t="shared" si="79"/>
        <v>1.2889999999999999</v>
      </c>
      <c r="Y142" s="141">
        <f t="shared" ref="Y142:Z142" si="93">Y62</f>
        <v>1.258</v>
      </c>
      <c r="Z142" s="141">
        <f t="shared" si="93"/>
        <v>1.07</v>
      </c>
      <c r="AA142" s="141">
        <f t="shared" ref="AA142" si="94">AA62</f>
        <v>0.85899999999999999</v>
      </c>
      <c r="AB142" s="14"/>
    </row>
    <row r="143" spans="2:28">
      <c r="B143" s="13"/>
      <c r="C143" s="125" t="str">
        <f t="shared" ref="C143:F143" si="95">C108</f>
        <v>IMP</v>
      </c>
      <c r="D143" s="125" t="str">
        <f t="shared" si="95"/>
        <v>Imports</v>
      </c>
      <c r="E143" s="125" t="str">
        <f t="shared" si="95"/>
        <v>TOTAL</v>
      </c>
      <c r="F143" s="125" t="str">
        <f t="shared" si="95"/>
        <v>Total</v>
      </c>
      <c r="G143" s="141">
        <f>G65</f>
        <v>3.46</v>
      </c>
      <c r="H143" s="141">
        <f t="shared" ref="H143:X143" si="96">H65</f>
        <v>3.4049999999999998</v>
      </c>
      <c r="I143" s="141">
        <f t="shared" si="96"/>
        <v>3.5569999999999999</v>
      </c>
      <c r="J143" s="141">
        <f t="shared" si="96"/>
        <v>3.74</v>
      </c>
      <c r="K143" s="141">
        <f t="shared" si="96"/>
        <v>3.85</v>
      </c>
      <c r="L143" s="141">
        <f t="shared" si="96"/>
        <v>3.895</v>
      </c>
      <c r="M143" s="141">
        <f t="shared" si="96"/>
        <v>3.984</v>
      </c>
      <c r="N143" s="141">
        <f t="shared" si="96"/>
        <v>4.04</v>
      </c>
      <c r="O143" s="141">
        <f t="shared" si="96"/>
        <v>3.984</v>
      </c>
      <c r="P143" s="141">
        <f t="shared" si="96"/>
        <v>3.36</v>
      </c>
      <c r="Q143" s="141">
        <f t="shared" si="96"/>
        <v>3.6030000000000002</v>
      </c>
      <c r="R143" s="141">
        <f t="shared" si="96"/>
        <v>3.669</v>
      </c>
      <c r="S143" s="141">
        <f t="shared" si="96"/>
        <v>3.5489999999999999</v>
      </c>
      <c r="T143" s="141">
        <f t="shared" si="96"/>
        <v>3.5089999999999999</v>
      </c>
      <c r="U143" s="141">
        <f t="shared" si="96"/>
        <v>3.5419999999999998</v>
      </c>
      <c r="V143" s="141">
        <f t="shared" si="96"/>
        <v>3.6840000000000002</v>
      </c>
      <c r="W143" s="141">
        <f t="shared" si="96"/>
        <v>3.7170000000000001</v>
      </c>
      <c r="X143" s="141">
        <f t="shared" si="96"/>
        <v>3.806</v>
      </c>
      <c r="Y143" s="141">
        <f t="shared" ref="Y143:Z143" si="97">Y65</f>
        <v>3.879</v>
      </c>
      <c r="Z143" s="141">
        <f t="shared" si="97"/>
        <v>3.802</v>
      </c>
      <c r="AA143" s="141">
        <f t="shared" ref="AA143" si="98">AA65</f>
        <v>3.41</v>
      </c>
      <c r="AB143" s="14"/>
    </row>
    <row r="144" spans="2:28">
      <c r="B144" s="13"/>
      <c r="C144" s="125" t="str">
        <f t="shared" ref="C144:F144" si="99">C109</f>
        <v>IMP</v>
      </c>
      <c r="D144" s="125" t="str">
        <f t="shared" si="99"/>
        <v>Imports</v>
      </c>
      <c r="E144" s="125" t="str">
        <f t="shared" si="99"/>
        <v>MF1</v>
      </c>
      <c r="F144" s="125" t="str">
        <f t="shared" si="99"/>
        <v>Biomass</v>
      </c>
      <c r="G144" s="141">
        <f>G66/SUM(G$66:G$69)*SUM(G$70:G$71)+G66</f>
        <v>0.36614838900384272</v>
      </c>
      <c r="H144" s="141">
        <f t="shared" ref="H144:X147" si="100">H66/SUM(H$66:H$69)*SUM(H$70:H$71)+H66</f>
        <v>0.3750405162064826</v>
      </c>
      <c r="I144" s="141">
        <f t="shared" si="100"/>
        <v>0.39749611287071696</v>
      </c>
      <c r="J144" s="141">
        <f t="shared" si="100"/>
        <v>0.39503429355281205</v>
      </c>
      <c r="K144" s="141">
        <f t="shared" si="100"/>
        <v>0.40065543071161047</v>
      </c>
      <c r="L144" s="141">
        <f t="shared" si="100"/>
        <v>0.40201422175401635</v>
      </c>
      <c r="M144" s="141">
        <f t="shared" si="100"/>
        <v>0.40506563706563709</v>
      </c>
      <c r="N144" s="141">
        <f t="shared" si="100"/>
        <v>0.43586768447837149</v>
      </c>
      <c r="O144" s="141">
        <f t="shared" si="100"/>
        <v>0.42413643410852708</v>
      </c>
      <c r="P144" s="141">
        <f t="shared" si="100"/>
        <v>0.35651058606934638</v>
      </c>
      <c r="Q144" s="141">
        <f t="shared" si="100"/>
        <v>0.37660223367697593</v>
      </c>
      <c r="R144" s="141">
        <f t="shared" si="100"/>
        <v>0.39539307822172198</v>
      </c>
      <c r="S144" s="141">
        <f t="shared" si="100"/>
        <v>0.38986399302528335</v>
      </c>
      <c r="T144" s="141">
        <f t="shared" si="100"/>
        <v>0.40058094957239754</v>
      </c>
      <c r="U144" s="141">
        <f t="shared" si="100"/>
        <v>0.43187978941210881</v>
      </c>
      <c r="V144" s="141">
        <f t="shared" si="100"/>
        <v>0.42909346056693798</v>
      </c>
      <c r="W144" s="141">
        <f t="shared" si="100"/>
        <v>0.44247964305633014</v>
      </c>
      <c r="X144" s="141">
        <f t="shared" si="100"/>
        <v>0.45497489082969433</v>
      </c>
      <c r="Y144" s="141">
        <f t="shared" ref="Y144" si="101">Y66/SUM(Y$66:Y$69)*SUM(Y$70:Y$71)+Y66</f>
        <v>0.48382944489139179</v>
      </c>
      <c r="Z144" s="141">
        <f>Z66/SUM(Z$66:Z$69)*SUM(Z$70:Z$71)+Z66</f>
        <v>0.4956402640264026</v>
      </c>
      <c r="AA144" s="141">
        <f>AA66/SUM(AA$66:AA$69)*SUM(AA$70:AA$71)+AA66</f>
        <v>0.47053212419305257</v>
      </c>
      <c r="AB144" s="14"/>
    </row>
    <row r="145" spans="2:28">
      <c r="B145" s="13"/>
      <c r="C145" s="125" t="str">
        <f t="shared" ref="C145:F145" si="102">C110</f>
        <v>IMP</v>
      </c>
      <c r="D145" s="125" t="str">
        <f t="shared" si="102"/>
        <v>Imports</v>
      </c>
      <c r="E145" s="125" t="str">
        <f t="shared" si="102"/>
        <v>MF2</v>
      </c>
      <c r="F145" s="125" t="str">
        <f t="shared" si="102"/>
        <v>Metal ores (gross ores)</v>
      </c>
      <c r="G145" s="141">
        <f t="shared" ref="G145:V147" si="103">G67/SUM(G$66:G$69)*SUM(G$70:G$71)+G67</f>
        <v>0.56865503990540944</v>
      </c>
      <c r="H145" s="141">
        <f t="shared" si="103"/>
        <v>0.53752400960384161</v>
      </c>
      <c r="I145" s="141">
        <f t="shared" si="103"/>
        <v>0.54194701986754967</v>
      </c>
      <c r="J145" s="141">
        <f t="shared" si="103"/>
        <v>0.58177777777777773</v>
      </c>
      <c r="K145" s="141">
        <f t="shared" si="103"/>
        <v>0.63857677902621723</v>
      </c>
      <c r="L145" s="141">
        <f t="shared" si="103"/>
        <v>0.65634974980247562</v>
      </c>
      <c r="M145" s="141">
        <f t="shared" si="103"/>
        <v>0.66964015444015446</v>
      </c>
      <c r="N145" s="141">
        <f t="shared" si="103"/>
        <v>0.68566921119592883</v>
      </c>
      <c r="O145" s="141">
        <f t="shared" si="103"/>
        <v>0.66091162790697677</v>
      </c>
      <c r="P145" s="141">
        <f t="shared" si="103"/>
        <v>0.39257379564283523</v>
      </c>
      <c r="Q145" s="141">
        <f t="shared" si="103"/>
        <v>0.53343384879725086</v>
      </c>
      <c r="R145" s="141">
        <f t="shared" si="103"/>
        <v>0.56160270118176703</v>
      </c>
      <c r="S145" s="141">
        <f t="shared" si="103"/>
        <v>0.50125370531822144</v>
      </c>
      <c r="T145" s="141">
        <f t="shared" si="103"/>
        <v>0.52996756119138899</v>
      </c>
      <c r="U145" s="141">
        <f t="shared" si="103"/>
        <v>0.54580491371746132</v>
      </c>
      <c r="V145" s="141">
        <f t="shared" si="103"/>
        <v>0.57177996070726922</v>
      </c>
      <c r="W145" s="141">
        <f t="shared" si="100"/>
        <v>0.5585398773006135</v>
      </c>
      <c r="X145" s="141">
        <f t="shared" si="100"/>
        <v>0.57235425764192149</v>
      </c>
      <c r="Y145" s="141">
        <f t="shared" ref="Y145" si="104">Y67/SUM(Y$66:Y$69)*SUM(Y$70:Y$71)+Y67</f>
        <v>0.60452668275677124</v>
      </c>
      <c r="Z145" s="141">
        <f t="shared" ref="Z145" si="105">Z67/SUM(Z$66:Z$69)*SUM(Z$70:Z$71)+Z67</f>
        <v>0.57092739273927395</v>
      </c>
      <c r="AA145" s="141">
        <f>AA67/SUM(AA$66:AA$69)*SUM(AA$70:AA$71)+AA67</f>
        <v>0.4977789732554565</v>
      </c>
      <c r="AB145" s="14"/>
    </row>
    <row r="146" spans="2:28">
      <c r="B146" s="13"/>
      <c r="C146" s="125" t="str">
        <f t="shared" ref="C146:F146" si="106">C111</f>
        <v>IMP</v>
      </c>
      <c r="D146" s="125" t="str">
        <f t="shared" si="106"/>
        <v>Imports</v>
      </c>
      <c r="E146" s="125" t="str">
        <f t="shared" si="106"/>
        <v>MF3</v>
      </c>
      <c r="F146" s="125" t="str">
        <f t="shared" si="106"/>
        <v>Non-metallic minerals</v>
      </c>
      <c r="G146" s="141">
        <f t="shared" si="103"/>
        <v>0.2076204552172628</v>
      </c>
      <c r="H146" s="141">
        <f t="shared" si="100"/>
        <v>0.21357893157262905</v>
      </c>
      <c r="I146" s="141">
        <f t="shared" si="100"/>
        <v>0.2212864958249352</v>
      </c>
      <c r="J146" s="141">
        <f t="shared" si="100"/>
        <v>0.23702057613168726</v>
      </c>
      <c r="K146" s="141">
        <f t="shared" si="100"/>
        <v>0.24822097378277153</v>
      </c>
      <c r="L146" s="141">
        <f t="shared" si="100"/>
        <v>0.25330998156439294</v>
      </c>
      <c r="M146" s="141">
        <f t="shared" si="100"/>
        <v>0.25842162162162163</v>
      </c>
      <c r="N146" s="141">
        <f t="shared" si="100"/>
        <v>0.28372519083969466</v>
      </c>
      <c r="O146" s="141">
        <f t="shared" si="100"/>
        <v>0.25324651162790696</v>
      </c>
      <c r="P146" s="141">
        <f t="shared" si="100"/>
        <v>0.19165019944768333</v>
      </c>
      <c r="Q146" s="141">
        <f t="shared" si="100"/>
        <v>0.22286597938144329</v>
      </c>
      <c r="R146" s="141">
        <f t="shared" si="100"/>
        <v>0.23434524479459765</v>
      </c>
      <c r="S146" s="141">
        <f t="shared" si="100"/>
        <v>0.19699476896251089</v>
      </c>
      <c r="T146" s="141">
        <f t="shared" si="100"/>
        <v>0.19149218519610733</v>
      </c>
      <c r="U146" s="141">
        <f t="shared" si="100"/>
        <v>0.19677976016379059</v>
      </c>
      <c r="V146" s="141">
        <f t="shared" si="100"/>
        <v>0.19231658714566377</v>
      </c>
      <c r="W146" s="141">
        <f t="shared" si="100"/>
        <v>0.20206915783602902</v>
      </c>
      <c r="X146" s="141">
        <f t="shared" si="100"/>
        <v>0.2254099344978166</v>
      </c>
      <c r="Y146" s="141">
        <f t="shared" ref="Y146" si="107">Y68/SUM(Y$66:Y$69)*SUM(Y$70:Y$71)+Y68</f>
        <v>0.23619200858138911</v>
      </c>
      <c r="Z146" s="141">
        <f t="shared" ref="Z146" si="108">Z68/SUM(Z$66:Z$69)*SUM(Z$70:Z$71)+Z68</f>
        <v>0.2478201320132013</v>
      </c>
      <c r="AA146" s="141">
        <f t="shared" ref="AA146" si="109">AA68/SUM(AA$66:AA$69)*SUM(AA$70:AA$71)+AA68</f>
        <v>0.23998186289578852</v>
      </c>
      <c r="AB146" s="14"/>
    </row>
    <row r="147" spans="2:28">
      <c r="B147" s="13"/>
      <c r="C147" s="125" t="str">
        <f t="shared" ref="C147:F147" si="110">C112</f>
        <v>IMP</v>
      </c>
      <c r="D147" s="125" t="str">
        <f t="shared" si="110"/>
        <v>Imports</v>
      </c>
      <c r="E147" s="125" t="str">
        <f t="shared" si="110"/>
        <v>MF4</v>
      </c>
      <c r="F147" s="125" t="str">
        <f t="shared" si="110"/>
        <v>Fossil energy materials/carriers</v>
      </c>
      <c r="G147" s="141">
        <f t="shared" si="103"/>
        <v>2.3175761158734849</v>
      </c>
      <c r="H147" s="141">
        <f t="shared" si="100"/>
        <v>2.2788565426170466</v>
      </c>
      <c r="I147" s="141">
        <f t="shared" si="100"/>
        <v>2.397270371436798</v>
      </c>
      <c r="J147" s="141">
        <f t="shared" si="100"/>
        <v>2.5261673525377231</v>
      </c>
      <c r="K147" s="141">
        <f t="shared" si="100"/>
        <v>2.5625468164794007</v>
      </c>
      <c r="L147" s="141">
        <f t="shared" si="100"/>
        <v>2.5823260468791149</v>
      </c>
      <c r="M147" s="141">
        <f t="shared" si="100"/>
        <v>2.6508725868725866</v>
      </c>
      <c r="N147" s="141">
        <f t="shared" si="100"/>
        <v>2.6347379134860054</v>
      </c>
      <c r="O147" s="141">
        <f t="shared" si="100"/>
        <v>2.6457054263565891</v>
      </c>
      <c r="P147" s="141">
        <f t="shared" si="100"/>
        <v>2.417265418840135</v>
      </c>
      <c r="Q147" s="141">
        <f t="shared" si="100"/>
        <v>2.4700979381443302</v>
      </c>
      <c r="R147" s="141">
        <f t="shared" si="100"/>
        <v>2.4776589758019134</v>
      </c>
      <c r="S147" s="141">
        <f t="shared" si="100"/>
        <v>2.4608875326939845</v>
      </c>
      <c r="T147" s="141">
        <f t="shared" si="100"/>
        <v>2.3879593040401059</v>
      </c>
      <c r="U147" s="141">
        <f t="shared" si="100"/>
        <v>2.3665355367066394</v>
      </c>
      <c r="V147" s="141">
        <f t="shared" si="100"/>
        <v>2.4908099915801287</v>
      </c>
      <c r="W147" s="141">
        <f t="shared" si="100"/>
        <v>2.5129113218070271</v>
      </c>
      <c r="X147" s="141">
        <f t="shared" si="100"/>
        <v>2.5532609170305678</v>
      </c>
      <c r="Y147" s="141">
        <f t="shared" ref="Y147" si="111">Y69/SUM(Y$66:Y$69)*SUM(Y$70:Y$71)+Y69</f>
        <v>2.5554518637704478</v>
      </c>
      <c r="Z147" s="141">
        <f t="shared" ref="Z147" si="112">Z69/SUM(Z$66:Z$69)*SUM(Z$70:Z$71)+Z69</f>
        <v>2.4876122112211223</v>
      </c>
      <c r="AA147" s="141">
        <f t="shared" ref="AA147" si="113">AA69/SUM(AA$66:AA$69)*SUM(AA$70:AA$71)+AA69</f>
        <v>2.2007070396557027</v>
      </c>
      <c r="AB147" s="14"/>
    </row>
    <row r="148" spans="2:28">
      <c r="B148" s="13"/>
      <c r="C148" s="125" t="str">
        <f t="shared" ref="C148:F148" si="114">C113</f>
        <v>EXP</v>
      </c>
      <c r="D148" s="125" t="str">
        <f t="shared" si="114"/>
        <v>Exports</v>
      </c>
      <c r="E148" s="125" t="str">
        <f t="shared" si="114"/>
        <v>TOTAL</v>
      </c>
      <c r="F148" s="125" t="str">
        <f t="shared" si="114"/>
        <v>Total</v>
      </c>
      <c r="G148" s="141">
        <f>G72</f>
        <v>1.0309999999999999</v>
      </c>
      <c r="H148" s="141">
        <f t="shared" ref="H148:X148" si="115">H72</f>
        <v>1.0269999999999999</v>
      </c>
      <c r="I148" s="141">
        <f t="shared" si="115"/>
        <v>1.087</v>
      </c>
      <c r="J148" s="141">
        <f t="shared" si="115"/>
        <v>1.1100000000000001</v>
      </c>
      <c r="K148" s="141">
        <f t="shared" si="115"/>
        <v>1.165</v>
      </c>
      <c r="L148" s="141">
        <f t="shared" si="115"/>
        <v>1.2230000000000001</v>
      </c>
      <c r="M148" s="141">
        <f t="shared" si="115"/>
        <v>1.2729999999999999</v>
      </c>
      <c r="N148" s="141">
        <f t="shared" si="115"/>
        <v>1.3009999999999999</v>
      </c>
      <c r="O148" s="141">
        <f t="shared" si="115"/>
        <v>1.3240000000000001</v>
      </c>
      <c r="P148" s="141">
        <f t="shared" si="115"/>
        <v>1.242</v>
      </c>
      <c r="Q148" s="141">
        <f t="shared" si="115"/>
        <v>1.37</v>
      </c>
      <c r="R148" s="141">
        <f t="shared" si="115"/>
        <v>1.419</v>
      </c>
      <c r="S148" s="141">
        <f t="shared" si="115"/>
        <v>1.5189999999999999</v>
      </c>
      <c r="T148" s="141">
        <f t="shared" si="115"/>
        <v>1.585</v>
      </c>
      <c r="U148" s="141">
        <f t="shared" si="115"/>
        <v>1.603</v>
      </c>
      <c r="V148" s="141">
        <f t="shared" si="115"/>
        <v>1.613</v>
      </c>
      <c r="W148" s="141">
        <f t="shared" si="115"/>
        <v>1.66</v>
      </c>
      <c r="X148" s="141">
        <f t="shared" si="115"/>
        <v>1.716</v>
      </c>
      <c r="Y148" s="141">
        <f t="shared" ref="Y148:Z148" si="116">Y72</f>
        <v>1.67</v>
      </c>
      <c r="Z148" s="141">
        <f t="shared" si="116"/>
        <v>1.6679999999999999</v>
      </c>
      <c r="AA148" s="141">
        <f t="shared" ref="AA148" si="117">AA72</f>
        <v>1.6060000000000001</v>
      </c>
      <c r="AB148" s="14"/>
    </row>
    <row r="149" spans="2:28">
      <c r="B149" s="13"/>
      <c r="C149" s="125" t="str">
        <f t="shared" ref="C149:F149" si="118">C114</f>
        <v>EXP</v>
      </c>
      <c r="D149" s="125" t="str">
        <f t="shared" si="118"/>
        <v>Exports</v>
      </c>
      <c r="E149" s="125" t="str">
        <f t="shared" si="118"/>
        <v>MF1</v>
      </c>
      <c r="F149" s="125" t="str">
        <f t="shared" si="118"/>
        <v>Biomass</v>
      </c>
      <c r="G149" s="141">
        <f>G73/SUM(G$73:G$76)*SUM(G$77:G$78)+G73</f>
        <v>0.31880254777070061</v>
      </c>
      <c r="H149" s="141">
        <f t="shared" ref="H149:X152" si="119">H73/SUM(H$73:H$76)*SUM(H$77:H$78)+H73</f>
        <v>0.30884120171673823</v>
      </c>
      <c r="I149" s="141">
        <f t="shared" si="119"/>
        <v>0.32128875379939209</v>
      </c>
      <c r="J149" s="141">
        <f t="shared" si="119"/>
        <v>0.32755882352941174</v>
      </c>
      <c r="K149" s="141">
        <f t="shared" si="119"/>
        <v>0.32209465791940017</v>
      </c>
      <c r="L149" s="141">
        <f t="shared" si="119"/>
        <v>0.35453989361702132</v>
      </c>
      <c r="M149" s="141">
        <f t="shared" si="119"/>
        <v>0.36867120954003413</v>
      </c>
      <c r="N149" s="141">
        <f t="shared" si="119"/>
        <v>0.34184210526315789</v>
      </c>
      <c r="O149" s="141">
        <f t="shared" si="119"/>
        <v>0.3660278917145201</v>
      </c>
      <c r="P149" s="141">
        <f t="shared" si="119"/>
        <v>0.3548805579773322</v>
      </c>
      <c r="Q149" s="141">
        <f t="shared" si="119"/>
        <v>0.39437747819191116</v>
      </c>
      <c r="R149" s="141">
        <f t="shared" si="119"/>
        <v>0.39847320061255742</v>
      </c>
      <c r="S149" s="141">
        <f t="shared" si="119"/>
        <v>0.40756756756756757</v>
      </c>
      <c r="T149" s="141">
        <f t="shared" si="119"/>
        <v>0.4519535836177474</v>
      </c>
      <c r="U149" s="141">
        <f t="shared" si="119"/>
        <v>0.47041136671177264</v>
      </c>
      <c r="V149" s="141">
        <f t="shared" si="119"/>
        <v>0.49220509383378019</v>
      </c>
      <c r="W149" s="141">
        <f t="shared" si="119"/>
        <v>0.49357189329863371</v>
      </c>
      <c r="X149" s="141">
        <f t="shared" si="119"/>
        <v>0.48566371681415932</v>
      </c>
      <c r="Y149" s="141">
        <f t="shared" ref="Y149" si="120">Y73/SUM(Y$73:Y$76)*SUM(Y$77:Y$78)+Y73</f>
        <v>0.47559167750325099</v>
      </c>
      <c r="Z149" s="141">
        <f t="shared" ref="Z149" si="121">Z73/SUM(Z$73:Z$76)*SUM(Z$77:Z$78)+Z73</f>
        <v>0.52373567708333335</v>
      </c>
      <c r="AA149" s="141">
        <f t="shared" ref="AA149" si="122">AA73/SUM(AA$73:AA$76)*SUM(AA$77:AA$78)+AA73</f>
        <v>0.55596484110885735</v>
      </c>
      <c r="AB149" s="14"/>
    </row>
    <row r="150" spans="2:28">
      <c r="B150" s="13"/>
      <c r="C150" s="125" t="str">
        <f t="shared" ref="C150:F150" si="123">C115</f>
        <v>EXP</v>
      </c>
      <c r="D150" s="125" t="str">
        <f t="shared" si="123"/>
        <v>Exports</v>
      </c>
      <c r="E150" s="125" t="str">
        <f t="shared" si="123"/>
        <v>MF2</v>
      </c>
      <c r="F150" s="125" t="str">
        <f t="shared" si="123"/>
        <v>Metal ores (gross ores)</v>
      </c>
      <c r="G150" s="141">
        <f t="shared" ref="G150:V152" si="124">G74/SUM(G$73:G$76)*SUM(G$77:G$78)+G74</f>
        <v>0.21691719745222932</v>
      </c>
      <c r="H150" s="141">
        <f t="shared" si="124"/>
        <v>0.21508583690987126</v>
      </c>
      <c r="I150" s="141">
        <f t="shared" si="124"/>
        <v>0.23986626139817629</v>
      </c>
      <c r="J150" s="141">
        <f t="shared" si="124"/>
        <v>0.24376470588235294</v>
      </c>
      <c r="K150" s="141">
        <f t="shared" si="124"/>
        <v>0.26641049671977507</v>
      </c>
      <c r="L150" s="141">
        <f t="shared" si="124"/>
        <v>0.26997074468085108</v>
      </c>
      <c r="M150" s="141">
        <f t="shared" si="124"/>
        <v>0.27650340715502558</v>
      </c>
      <c r="N150" s="141">
        <f t="shared" si="124"/>
        <v>0.28541102756892234</v>
      </c>
      <c r="O150" s="141">
        <f t="shared" si="124"/>
        <v>0.29325676784249388</v>
      </c>
      <c r="P150" s="141">
        <f t="shared" si="124"/>
        <v>0.2575047951176983</v>
      </c>
      <c r="Q150" s="141">
        <f t="shared" si="124"/>
        <v>0.2955114988104679</v>
      </c>
      <c r="R150" s="141">
        <f t="shared" si="124"/>
        <v>0.32898468606431852</v>
      </c>
      <c r="S150" s="141">
        <f t="shared" si="124"/>
        <v>0.34162162162162163</v>
      </c>
      <c r="T150" s="141">
        <f t="shared" si="124"/>
        <v>0.32977474402730372</v>
      </c>
      <c r="U150" s="141">
        <f t="shared" si="124"/>
        <v>0.32733694181326117</v>
      </c>
      <c r="V150" s="141">
        <f t="shared" si="124"/>
        <v>0.29748659517426274</v>
      </c>
      <c r="W150" s="141">
        <f t="shared" si="119"/>
        <v>0.30024723487312949</v>
      </c>
      <c r="X150" s="141">
        <f t="shared" si="119"/>
        <v>0.31763274336283187</v>
      </c>
      <c r="Y150" s="141">
        <f t="shared" ref="Y150" si="125">Y74/SUM(Y$73:Y$76)*SUM(Y$77:Y$78)+Y74</f>
        <v>0.31054616384915473</v>
      </c>
      <c r="Z150" s="141">
        <f t="shared" ref="Z150" si="126">Z74/SUM(Z$73:Z$76)*SUM(Z$77:Z$78)+Z74</f>
        <v>0.316197265625</v>
      </c>
      <c r="AA150" s="141">
        <f t="shared" ref="AA150" si="127">AA74/SUM(AA$73:AA$76)*SUM(AA$77:AA$78)+AA74</f>
        <v>0.29318458417849902</v>
      </c>
      <c r="AB150" s="14"/>
    </row>
    <row r="151" spans="2:28">
      <c r="B151" s="13"/>
      <c r="C151" s="125" t="str">
        <f t="shared" ref="C151:F151" si="128">C116</f>
        <v>EXP</v>
      </c>
      <c r="D151" s="125" t="str">
        <f t="shared" si="128"/>
        <v>Exports</v>
      </c>
      <c r="E151" s="125" t="str">
        <f t="shared" si="128"/>
        <v>MF3</v>
      </c>
      <c r="F151" s="125" t="str">
        <f t="shared" si="128"/>
        <v>Non-metallic minerals</v>
      </c>
      <c r="G151" s="141">
        <f t="shared" si="124"/>
        <v>0.16980891719745222</v>
      </c>
      <c r="H151" s="141">
        <f t="shared" si="119"/>
        <v>0.17206866952789701</v>
      </c>
      <c r="I151" s="141">
        <f t="shared" si="119"/>
        <v>0.17714893617021277</v>
      </c>
      <c r="J151" s="141">
        <f t="shared" si="119"/>
        <v>0.17847058823529413</v>
      </c>
      <c r="K151" s="141">
        <f t="shared" si="119"/>
        <v>0.18343017806935333</v>
      </c>
      <c r="L151" s="141">
        <f t="shared" si="119"/>
        <v>0.19407535460992906</v>
      </c>
      <c r="M151" s="141">
        <f t="shared" si="119"/>
        <v>0.18541993185689951</v>
      </c>
      <c r="N151" s="141">
        <f t="shared" si="119"/>
        <v>0.18557142857142858</v>
      </c>
      <c r="O151" s="141">
        <f t="shared" si="119"/>
        <v>0.18464315012305169</v>
      </c>
      <c r="P151" s="141">
        <f t="shared" si="119"/>
        <v>0.16553879686137751</v>
      </c>
      <c r="Q151" s="141">
        <f t="shared" si="119"/>
        <v>0.19447264076130055</v>
      </c>
      <c r="R151" s="141">
        <f t="shared" si="119"/>
        <v>0.19869372128637058</v>
      </c>
      <c r="S151" s="141">
        <f t="shared" si="119"/>
        <v>0.21945945945945947</v>
      </c>
      <c r="T151" s="141">
        <f t="shared" si="119"/>
        <v>0.23570784982935153</v>
      </c>
      <c r="U151" s="141">
        <f t="shared" si="119"/>
        <v>0.24929634641407308</v>
      </c>
      <c r="V151" s="141">
        <f t="shared" si="119"/>
        <v>0.250970509383378</v>
      </c>
      <c r="W151" s="141">
        <f t="shared" si="119"/>
        <v>0.25056603773584907</v>
      </c>
      <c r="X151" s="141">
        <f t="shared" si="119"/>
        <v>0.25258849557522123</v>
      </c>
      <c r="Y151" s="141">
        <f t="shared" ref="Y151" si="129">Y75/SUM(Y$73:Y$76)*SUM(Y$77:Y$78)+Y75</f>
        <v>0.24756827048114435</v>
      </c>
      <c r="Z151" s="141">
        <f t="shared" ref="Z151" si="130">Z75/SUM(Z$73:Z$76)*SUM(Z$77:Z$78)+Z75</f>
        <v>0.23035677083333334</v>
      </c>
      <c r="AA151" s="141">
        <f t="shared" ref="AA151" si="131">AA75/SUM(AA$73:AA$76)*SUM(AA$77:AA$78)+AA75</f>
        <v>0.21717376605814742</v>
      </c>
      <c r="AB151" s="14"/>
    </row>
    <row r="152" spans="2:28">
      <c r="B152" s="13"/>
      <c r="C152" s="125" t="str">
        <f t="shared" ref="C152:F152" si="132">C117</f>
        <v>EXP</v>
      </c>
      <c r="D152" s="125" t="str">
        <f t="shared" si="132"/>
        <v>Exports</v>
      </c>
      <c r="E152" s="125" t="str">
        <f t="shared" si="132"/>
        <v>MF4</v>
      </c>
      <c r="F152" s="125" t="str">
        <f t="shared" si="132"/>
        <v>Fossil energy materials/carriers</v>
      </c>
      <c r="G152" s="141">
        <f t="shared" si="124"/>
        <v>0.32647133757961783</v>
      </c>
      <c r="H152" s="141">
        <f t="shared" si="119"/>
        <v>0.33200429184549357</v>
      </c>
      <c r="I152" s="141">
        <f t="shared" si="119"/>
        <v>0.34769604863221887</v>
      </c>
      <c r="J152" s="141">
        <f t="shared" si="119"/>
        <v>0.36020588235294121</v>
      </c>
      <c r="K152" s="141">
        <f t="shared" si="119"/>
        <v>0.39306466729147138</v>
      </c>
      <c r="L152" s="141">
        <f t="shared" si="119"/>
        <v>0.40441400709219855</v>
      </c>
      <c r="M152" s="141">
        <f t="shared" si="119"/>
        <v>0.44240545144804089</v>
      </c>
      <c r="N152" s="141">
        <f t="shared" si="119"/>
        <v>0.48617543859649126</v>
      </c>
      <c r="O152" s="141">
        <f t="shared" si="119"/>
        <v>0.48007219031993437</v>
      </c>
      <c r="P152" s="141">
        <f t="shared" si="119"/>
        <v>0.46307585004359197</v>
      </c>
      <c r="Q152" s="141">
        <f t="shared" si="119"/>
        <v>0.48563838223632039</v>
      </c>
      <c r="R152" s="141">
        <f t="shared" si="119"/>
        <v>0.49184839203675346</v>
      </c>
      <c r="S152" s="141">
        <f t="shared" si="119"/>
        <v>0.55135135135135138</v>
      </c>
      <c r="T152" s="141">
        <f t="shared" si="119"/>
        <v>0.56656382252559734</v>
      </c>
      <c r="U152" s="141">
        <f t="shared" si="119"/>
        <v>0.55495534506089306</v>
      </c>
      <c r="V152" s="141">
        <f t="shared" si="119"/>
        <v>0.57333780160857917</v>
      </c>
      <c r="W152" s="141">
        <f t="shared" si="119"/>
        <v>0.61561483409238771</v>
      </c>
      <c r="X152" s="141">
        <f t="shared" si="119"/>
        <v>0.65911504424778755</v>
      </c>
      <c r="Y152" s="141">
        <f t="shared" ref="Y152" si="133">Y76/SUM(Y$73:Y$76)*SUM(Y$77:Y$78)+Y76</f>
        <v>0.63629388816644994</v>
      </c>
      <c r="Z152" s="141">
        <f t="shared" ref="Z152" si="134">Z76/SUM(Z$73:Z$76)*SUM(Z$77:Z$78)+Z76</f>
        <v>0.59871028645833335</v>
      </c>
      <c r="AA152" s="141">
        <f t="shared" ref="AA152" si="135">AA76/SUM(AA$73:AA$76)*SUM(AA$77:AA$78)+AA76</f>
        <v>0.5396768086544963</v>
      </c>
      <c r="AB152" s="14"/>
    </row>
    <row r="153" spans="2:28">
      <c r="B153" s="13"/>
      <c r="C153" s="126" t="str">
        <f t="shared" ref="C153:F153" si="136">C118</f>
        <v>DMC</v>
      </c>
      <c r="D153" s="126" t="str">
        <f t="shared" si="136"/>
        <v>Domestic material consumption</v>
      </c>
      <c r="E153" s="126" t="str">
        <f t="shared" si="136"/>
        <v>TOTAL</v>
      </c>
      <c r="F153" s="127" t="str">
        <f t="shared" si="136"/>
        <v>Total</v>
      </c>
      <c r="G153" s="141">
        <f>G79</f>
        <v>15.377000000000001</v>
      </c>
      <c r="H153" s="141">
        <f t="shared" ref="H153:X153" si="137">H79</f>
        <v>15.414999999999999</v>
      </c>
      <c r="I153" s="141">
        <f t="shared" si="137"/>
        <v>15.52</v>
      </c>
      <c r="J153" s="141">
        <f t="shared" si="137"/>
        <v>15.617000000000001</v>
      </c>
      <c r="K153" s="141">
        <f t="shared" si="137"/>
        <v>16.28</v>
      </c>
      <c r="L153" s="141">
        <f t="shared" si="137"/>
        <v>16.356999999999999</v>
      </c>
      <c r="M153" s="141">
        <f t="shared" si="137"/>
        <v>16.702999999999999</v>
      </c>
      <c r="N153" s="141">
        <f t="shared" si="137"/>
        <v>17.274999999999999</v>
      </c>
      <c r="O153" s="141">
        <f t="shared" si="137"/>
        <v>16.890999999999998</v>
      </c>
      <c r="P153" s="141">
        <f t="shared" si="137"/>
        <v>14.794</v>
      </c>
      <c r="Q153" s="141">
        <f t="shared" si="137"/>
        <v>14.337999999999999</v>
      </c>
      <c r="R153" s="141">
        <f t="shared" si="137"/>
        <v>15.122</v>
      </c>
      <c r="S153" s="141">
        <f t="shared" si="137"/>
        <v>13.933999999999999</v>
      </c>
      <c r="T153" s="141">
        <f t="shared" si="137"/>
        <v>13.545999999999999</v>
      </c>
      <c r="U153" s="141">
        <f t="shared" si="137"/>
        <v>13.65</v>
      </c>
      <c r="V153" s="141">
        <f t="shared" si="137"/>
        <v>13.603</v>
      </c>
      <c r="W153" s="141">
        <f t="shared" si="137"/>
        <v>13.553000000000001</v>
      </c>
      <c r="X153" s="141">
        <f t="shared" si="137"/>
        <v>13.973000000000001</v>
      </c>
      <c r="Y153" s="141">
        <f t="shared" ref="Y153:Z153" si="138">Y79</f>
        <v>14.154999999999999</v>
      </c>
      <c r="Z153" s="141">
        <f t="shared" si="138"/>
        <v>14.051</v>
      </c>
      <c r="AA153" s="141">
        <f t="shared" ref="AA153" si="139">AA79</f>
        <v>13.359</v>
      </c>
      <c r="AB153" s="14"/>
    </row>
    <row r="154" spans="2:28">
      <c r="B154" s="13"/>
      <c r="C154" s="126" t="str">
        <f t="shared" ref="C154:F154" si="140">C119</f>
        <v>DMC</v>
      </c>
      <c r="D154" s="126" t="str">
        <f t="shared" si="140"/>
        <v>Domestic material consumption</v>
      </c>
      <c r="E154" s="126" t="str">
        <f t="shared" si="140"/>
        <v>MF1</v>
      </c>
      <c r="F154" s="129" t="str">
        <f t="shared" si="140"/>
        <v>Biomass</v>
      </c>
      <c r="G154" s="141">
        <f>G80/SUM(G$80:G$83)*SUM(G$84:G$85)+G80</f>
        <v>3.4850534797582688</v>
      </c>
      <c r="H154" s="141">
        <f t="shared" ref="H154:X157" si="141">H80/SUM(H$80:H$83)*SUM(H$84:H$85)+H80</f>
        <v>3.4508511465215701</v>
      </c>
      <c r="I154" s="141">
        <f t="shared" si="141"/>
        <v>3.4556599073001157</v>
      </c>
      <c r="J154" s="141">
        <f t="shared" si="141"/>
        <v>3.1900213297463491</v>
      </c>
      <c r="K154" s="141">
        <f t="shared" si="141"/>
        <v>3.63612689044633</v>
      </c>
      <c r="L154" s="141">
        <f t="shared" si="141"/>
        <v>3.4444211556099051</v>
      </c>
      <c r="M154" s="141">
        <f t="shared" si="141"/>
        <v>3.2490000000000001</v>
      </c>
      <c r="N154" s="141">
        <f t="shared" si="141"/>
        <v>3.4055771124109571</v>
      </c>
      <c r="O154" s="141">
        <f t="shared" si="141"/>
        <v>3.4598435019547451</v>
      </c>
      <c r="P154" s="141">
        <f t="shared" si="141"/>
        <v>3.3271245604544224</v>
      </c>
      <c r="Q154" s="141">
        <f t="shared" si="141"/>
        <v>3.2246746651785716</v>
      </c>
      <c r="R154" s="141">
        <f t="shared" si="141"/>
        <v>3.3982247503141743</v>
      </c>
      <c r="S154" s="141">
        <f t="shared" si="141"/>
        <v>3.244370248170994</v>
      </c>
      <c r="T154" s="141">
        <f t="shared" si="141"/>
        <v>3.306755904930617</v>
      </c>
      <c r="U154" s="141">
        <f t="shared" si="141"/>
        <v>3.5382223117491942</v>
      </c>
      <c r="V154" s="141">
        <f t="shared" si="141"/>
        <v>3.2675195530726255</v>
      </c>
      <c r="W154" s="141">
        <f t="shared" si="141"/>
        <v>3.3307201594448959</v>
      </c>
      <c r="X154" s="141">
        <f t="shared" si="141"/>
        <v>3.4432177742767114</v>
      </c>
      <c r="Y154" s="141">
        <f t="shared" ref="Y154" si="142">Y80/SUM(Y$80:Y$83)*SUM(Y$84:Y$85)+Y80</f>
        <v>3.3464922532720198</v>
      </c>
      <c r="Z154" s="141">
        <f t="shared" ref="Z154" si="143">Z80/SUM(Z$80:Z$83)*SUM(Z$84:Z$85)+Z80</f>
        <v>3.3070015694107577</v>
      </c>
      <c r="AA154" s="141">
        <f t="shared" ref="AA154" si="144">AA80/SUM(AA$80:AA$83)*SUM(AA$84:AA$85)+AA80</f>
        <v>3.2648429975245667</v>
      </c>
      <c r="AB154" s="14"/>
    </row>
    <row r="155" spans="2:28">
      <c r="B155" s="13"/>
      <c r="C155" s="126" t="str">
        <f t="shared" ref="C155:F155" si="145">C120</f>
        <v>DMC</v>
      </c>
      <c r="D155" s="126" t="str">
        <f t="shared" si="145"/>
        <v>Domestic material consumption</v>
      </c>
      <c r="E155" s="126" t="str">
        <f t="shared" si="145"/>
        <v>MF2</v>
      </c>
      <c r="F155" s="129" t="str">
        <f t="shared" si="145"/>
        <v>Metal ores (gross ores)</v>
      </c>
      <c r="G155" s="141">
        <f t="shared" ref="G155:V157" si="146">G81/SUM(G$80:G$83)*SUM(G$84:G$85)+G81</f>
        <v>0.70840106569627648</v>
      </c>
      <c r="H155" s="141">
        <f t="shared" si="146"/>
        <v>0.66700479336701646</v>
      </c>
      <c r="I155" s="141">
        <f t="shared" si="146"/>
        <v>0.63538586326767088</v>
      </c>
      <c r="J155" s="141">
        <f t="shared" si="146"/>
        <v>0.66221201639764282</v>
      </c>
      <c r="K155" s="141">
        <f t="shared" si="146"/>
        <v>0.69860076232632484</v>
      </c>
      <c r="L155" s="141">
        <f t="shared" si="146"/>
        <v>0.71208706817487</v>
      </c>
      <c r="M155" s="141">
        <f t="shared" si="146"/>
        <v>0.72499999999999998</v>
      </c>
      <c r="N155" s="141">
        <f t="shared" si="146"/>
        <v>0.72233451091677769</v>
      </c>
      <c r="O155" s="141">
        <f t="shared" si="146"/>
        <v>0.69036784741144408</v>
      </c>
      <c r="P155" s="141">
        <f t="shared" si="146"/>
        <v>0.45315316472815798</v>
      </c>
      <c r="Q155" s="141">
        <f t="shared" si="146"/>
        <v>0.61712911551339289</v>
      </c>
      <c r="R155" s="141">
        <f t="shared" si="146"/>
        <v>0.62904160328064029</v>
      </c>
      <c r="S155" s="141">
        <f t="shared" si="146"/>
        <v>0.58870427485296228</v>
      </c>
      <c r="T155" s="141">
        <f t="shared" si="146"/>
        <v>0.69094899616179506</v>
      </c>
      <c r="U155" s="141">
        <f t="shared" si="146"/>
        <v>0.65185672428948138</v>
      </c>
      <c r="V155" s="141">
        <f t="shared" si="146"/>
        <v>0.70389650102910906</v>
      </c>
      <c r="W155" s="141">
        <f t="shared" si="141"/>
        <v>0.72537462168745848</v>
      </c>
      <c r="X155" s="141">
        <f t="shared" si="141"/>
        <v>0.73347242910340871</v>
      </c>
      <c r="Y155" s="141">
        <f t="shared" ref="Y155" si="147">Y81/SUM(Y$80:Y$83)*SUM(Y$84:Y$85)+Y81</f>
        <v>0.78505383799080297</v>
      </c>
      <c r="Z155" s="141">
        <f t="shared" ref="Z155" si="148">Z81/SUM(Z$80:Z$83)*SUM(Z$84:Z$85)+Z81</f>
        <v>0.74780938792980456</v>
      </c>
      <c r="AA155" s="141">
        <f t="shared" ref="AA155" si="149">AA81/SUM(AA$80:AA$83)*SUM(AA$84:AA$85)+AA81</f>
        <v>0.69846395619233359</v>
      </c>
      <c r="AB155" s="14"/>
    </row>
    <row r="156" spans="2:28">
      <c r="B156" s="13"/>
      <c r="C156" s="126" t="str">
        <f t="shared" ref="C156:F156" si="150">C121</f>
        <v>DMC</v>
      </c>
      <c r="D156" s="126" t="str">
        <f t="shared" si="150"/>
        <v>Domestic material consumption</v>
      </c>
      <c r="E156" s="126" t="str">
        <f t="shared" si="150"/>
        <v>MF3</v>
      </c>
      <c r="F156" s="129" t="str">
        <f t="shared" si="150"/>
        <v>Non-metallic minerals</v>
      </c>
      <c r="G156" s="141">
        <f t="shared" si="146"/>
        <v>7.39774540256027</v>
      </c>
      <c r="H156" s="141">
        <f t="shared" si="141"/>
        <v>7.5337592304702685</v>
      </c>
      <c r="I156" s="141">
        <f t="shared" si="141"/>
        <v>7.5796738122827341</v>
      </c>
      <c r="J156" s="141">
        <f t="shared" si="141"/>
        <v>7.8074996797335379</v>
      </c>
      <c r="K156" s="141">
        <f t="shared" si="141"/>
        <v>7.9978777818763058</v>
      </c>
      <c r="L156" s="141">
        <f t="shared" si="141"/>
        <v>8.285013023540202</v>
      </c>
      <c r="M156" s="141">
        <f t="shared" si="141"/>
        <v>8.8119999999999994</v>
      </c>
      <c r="N156" s="141">
        <f t="shared" si="141"/>
        <v>9.3373240864075981</v>
      </c>
      <c r="O156" s="141">
        <f t="shared" si="141"/>
        <v>8.9647766852268695</v>
      </c>
      <c r="P156" s="141">
        <f t="shared" si="141"/>
        <v>7.5355469975655938</v>
      </c>
      <c r="Q156" s="141">
        <f t="shared" si="141"/>
        <v>6.9964637974330355</v>
      </c>
      <c r="R156" s="141">
        <f t="shared" si="141"/>
        <v>7.5484992393676835</v>
      </c>
      <c r="S156" s="141">
        <f t="shared" si="141"/>
        <v>6.6416636780949645</v>
      </c>
      <c r="T156" s="141">
        <f t="shared" si="141"/>
        <v>6.2405393416002362</v>
      </c>
      <c r="U156" s="141">
        <f t="shared" si="141"/>
        <v>6.2426278933489598</v>
      </c>
      <c r="V156" s="141">
        <f t="shared" si="141"/>
        <v>6.3650640987944715</v>
      </c>
      <c r="W156" s="141">
        <f t="shared" si="141"/>
        <v>6.351280135823429</v>
      </c>
      <c r="X156" s="141">
        <f t="shared" si="141"/>
        <v>6.6562873102262961</v>
      </c>
      <c r="Y156" s="141">
        <f t="shared" ref="Y156" si="151">Y82/SUM(Y$80:Y$83)*SUM(Y$84:Y$85)+Y82</f>
        <v>6.8912506544039616</v>
      </c>
      <c r="Z156" s="141">
        <f t="shared" ref="Z156" si="152">Z82/SUM(Z$80:Z$83)*SUM(Z$84:Z$85)+Z82</f>
        <v>7.0911576544442854</v>
      </c>
      <c r="AA156" s="141">
        <f t="shared" ref="AA156" si="153">AA82/SUM(AA$80:AA$83)*SUM(AA$84:AA$85)+AA82</f>
        <v>6.9275198409721703</v>
      </c>
      <c r="AB156" s="14"/>
    </row>
    <row r="157" spans="2:28">
      <c r="B157" s="13"/>
      <c r="C157" s="126" t="str">
        <f t="shared" ref="C157:F157" si="154">C122</f>
        <v>DMC</v>
      </c>
      <c r="D157" s="126" t="str">
        <f t="shared" si="154"/>
        <v>Domestic material consumption</v>
      </c>
      <c r="E157" s="126" t="str">
        <f t="shared" si="154"/>
        <v>MF4</v>
      </c>
      <c r="F157" s="129" t="str">
        <f t="shared" si="154"/>
        <v>Fossil energy materials/carriers</v>
      </c>
      <c r="G157" s="141">
        <f t="shared" si="146"/>
        <v>3.7848000519851839</v>
      </c>
      <c r="H157" s="141">
        <f t="shared" si="141"/>
        <v>3.7633848296411454</v>
      </c>
      <c r="I157" s="141">
        <f t="shared" si="141"/>
        <v>3.8482804171494784</v>
      </c>
      <c r="J157" s="141">
        <f t="shared" si="141"/>
        <v>3.95726697412247</v>
      </c>
      <c r="K157" s="141">
        <f t="shared" si="141"/>
        <v>3.9473945653510389</v>
      </c>
      <c r="L157" s="141">
        <f t="shared" si="141"/>
        <v>3.915478752675023</v>
      </c>
      <c r="M157" s="141">
        <f t="shared" si="141"/>
        <v>3.9169999999999998</v>
      </c>
      <c r="N157" s="141">
        <f t="shared" si="141"/>
        <v>3.8097642902646665</v>
      </c>
      <c r="O157" s="141">
        <f t="shared" si="141"/>
        <v>3.7760119654069424</v>
      </c>
      <c r="P157" s="141">
        <f t="shared" si="141"/>
        <v>3.4771752772518258</v>
      </c>
      <c r="Q157" s="141">
        <f t="shared" si="141"/>
        <v>3.500732421875</v>
      </c>
      <c r="R157" s="141">
        <f t="shared" si="141"/>
        <v>3.5442344070375027</v>
      </c>
      <c r="S157" s="141">
        <f t="shared" si="141"/>
        <v>3.4602617988810791</v>
      </c>
      <c r="T157" s="141">
        <f t="shared" si="141"/>
        <v>3.3087557573073516</v>
      </c>
      <c r="U157" s="141">
        <f t="shared" si="141"/>
        <v>3.2162930706123647</v>
      </c>
      <c r="V157" s="141">
        <f t="shared" si="141"/>
        <v>3.2655198471037932</v>
      </c>
      <c r="W157" s="141">
        <f t="shared" si="141"/>
        <v>3.1466250830442166</v>
      </c>
      <c r="X157" s="141">
        <f t="shared" si="141"/>
        <v>3.1400224863935833</v>
      </c>
      <c r="Y157" s="141">
        <f t="shared" ref="Y157" si="155">Y83/SUM(Y$80:Y$83)*SUM(Y$84:Y$85)+Y83</f>
        <v>3.1312032543332151</v>
      </c>
      <c r="Z157" s="141">
        <f t="shared" ref="Z157" si="156">Z83/SUM(Z$80:Z$83)*SUM(Z$84:Z$85)+Z83</f>
        <v>2.9060313882151521</v>
      </c>
      <c r="AA157" s="141">
        <f t="shared" ref="AA157" si="157">AA83/SUM(AA$80:AA$83)*SUM(AA$84:AA$85)+AA83</f>
        <v>2.4681732053109293</v>
      </c>
      <c r="AB157" s="14"/>
    </row>
    <row r="158" spans="2:28">
      <c r="B158" s="13"/>
      <c r="C158" s="130" t="str">
        <f t="shared" ref="C158:F158" si="158">C123</f>
        <v>DMI</v>
      </c>
      <c r="D158" s="130" t="str">
        <f t="shared" si="158"/>
        <v>Direct material inputs</v>
      </c>
      <c r="E158" s="130" t="str">
        <f t="shared" si="158"/>
        <v>TOTAL</v>
      </c>
      <c r="F158" s="127" t="str">
        <f t="shared" si="158"/>
        <v>Total</v>
      </c>
      <c r="G158" s="141">
        <f>G86</f>
        <v>16.408000000000001</v>
      </c>
      <c r="H158" s="141">
        <f t="shared" ref="H158:X158" si="159">H86</f>
        <v>16.442</v>
      </c>
      <c r="I158" s="141">
        <f t="shared" si="159"/>
        <v>16.606999999999999</v>
      </c>
      <c r="J158" s="141">
        <f t="shared" si="159"/>
        <v>16.728000000000002</v>
      </c>
      <c r="K158" s="141">
        <f t="shared" si="159"/>
        <v>17.445</v>
      </c>
      <c r="L158" s="141">
        <f t="shared" si="159"/>
        <v>17.579999999999998</v>
      </c>
      <c r="M158" s="141">
        <f t="shared" si="159"/>
        <v>17.975999999999999</v>
      </c>
      <c r="N158" s="141">
        <f t="shared" si="159"/>
        <v>18.574999999999999</v>
      </c>
      <c r="O158" s="141">
        <f t="shared" si="159"/>
        <v>18.215</v>
      </c>
      <c r="P158" s="141">
        <f t="shared" si="159"/>
        <v>16.036000000000001</v>
      </c>
      <c r="Q158" s="141">
        <f t="shared" si="159"/>
        <v>15.708</v>
      </c>
      <c r="R158" s="141">
        <f t="shared" si="159"/>
        <v>16.54</v>
      </c>
      <c r="S158" s="141">
        <f t="shared" si="159"/>
        <v>15.454000000000001</v>
      </c>
      <c r="T158" s="141">
        <f t="shared" si="159"/>
        <v>15.131</v>
      </c>
      <c r="U158" s="141">
        <f t="shared" si="159"/>
        <v>15.252000000000001</v>
      </c>
      <c r="V158" s="141">
        <f t="shared" si="159"/>
        <v>15.215999999999999</v>
      </c>
      <c r="W158" s="141">
        <f t="shared" si="159"/>
        <v>15.212999999999999</v>
      </c>
      <c r="X158" s="141">
        <f t="shared" si="159"/>
        <v>15.689</v>
      </c>
      <c r="Y158" s="141">
        <f t="shared" ref="Y158:Z158" si="160">Y86</f>
        <v>15.824999999999999</v>
      </c>
      <c r="Z158" s="141">
        <f t="shared" si="160"/>
        <v>15.718999999999999</v>
      </c>
      <c r="AA158" s="141">
        <f t="shared" ref="AA158" si="161">AA86</f>
        <v>14.965</v>
      </c>
      <c r="AB158" s="14"/>
    </row>
    <row r="159" spans="2:28">
      <c r="B159" s="13"/>
      <c r="C159" s="130" t="str">
        <f t="shared" ref="C159:F159" si="162">C124</f>
        <v>DMI</v>
      </c>
      <c r="D159" s="130" t="str">
        <f t="shared" si="162"/>
        <v>Direct material inputs</v>
      </c>
      <c r="E159" s="130" t="str">
        <f t="shared" si="162"/>
        <v>MF1</v>
      </c>
      <c r="F159" s="129" t="str">
        <f t="shared" si="162"/>
        <v>Biomass</v>
      </c>
      <c r="G159" s="141">
        <f>G87/SUM(G$87:G$90)*SUM(G$91:G$92)+G87</f>
        <v>3.7968167401420523</v>
      </c>
      <c r="H159" s="141">
        <f t="shared" ref="H159:X162" si="163">H87/SUM(H$87:H$90)*SUM(H$91:H$92)+H87</f>
        <v>3.7526602321319489</v>
      </c>
      <c r="I159" s="141">
        <f t="shared" si="163"/>
        <v>3.7713015796162921</v>
      </c>
      <c r="J159" s="141">
        <f t="shared" si="163"/>
        <v>3.509934463684464</v>
      </c>
      <c r="K159" s="141">
        <f t="shared" si="163"/>
        <v>3.9533799469251183</v>
      </c>
      <c r="L159" s="141">
        <f t="shared" si="163"/>
        <v>3.791923635739618</v>
      </c>
      <c r="M159" s="141">
        <f t="shared" si="163"/>
        <v>3.6088764264936226</v>
      </c>
      <c r="N159" s="141">
        <f t="shared" si="163"/>
        <v>3.7411548876252367</v>
      </c>
      <c r="O159" s="141">
        <f t="shared" si="163"/>
        <v>3.8178959116022102</v>
      </c>
      <c r="P159" s="141">
        <f t="shared" si="163"/>
        <v>3.6777061370481925</v>
      </c>
      <c r="Q159" s="141">
        <f t="shared" si="163"/>
        <v>3.6125277938065015</v>
      </c>
      <c r="R159" s="141">
        <f t="shared" si="163"/>
        <v>3.7913575211541977</v>
      </c>
      <c r="S159" s="141">
        <f t="shared" si="163"/>
        <v>3.647490420956601</v>
      </c>
      <c r="T159" s="141">
        <f t="shared" si="163"/>
        <v>3.753520117239542</v>
      </c>
      <c r="U159" s="141">
        <f t="shared" si="163"/>
        <v>4.0050339699953739</v>
      </c>
      <c r="V159" s="141">
        <f t="shared" si="163"/>
        <v>3.7518351772109968</v>
      </c>
      <c r="W159" s="141">
        <f t="shared" si="163"/>
        <v>3.818629276054097</v>
      </c>
      <c r="X159" s="141">
        <f t="shared" si="163"/>
        <v>3.9245228354560657</v>
      </c>
      <c r="Y159" s="141">
        <f t="shared" ref="Y159" si="164">Y87/SUM(Y$87:Y$90)*SUM(Y$91:Y$92)+Y87</f>
        <v>3.8164180437695396</v>
      </c>
      <c r="Z159" s="141">
        <f t="shared" ref="Z159" si="165">Z87/SUM(Z$87:Z$90)*SUM(Z$91:Z$92)+Z87</f>
        <v>3.820344628046036</v>
      </c>
      <c r="AA159" s="141">
        <f t="shared" ref="AA159" si="166">AA87/SUM(AA$87:AA$90)*SUM(AA$91:AA$92)+AA87</f>
        <v>3.8097136876223918</v>
      </c>
      <c r="AB159" s="14"/>
    </row>
    <row r="160" spans="2:28">
      <c r="B160" s="13"/>
      <c r="C160" s="130" t="str">
        <f t="shared" ref="C160:F160" si="167">C125</f>
        <v>DMI</v>
      </c>
      <c r="D160" s="130" t="str">
        <f t="shared" si="167"/>
        <v>Direct material inputs</v>
      </c>
      <c r="E160" s="130" t="str">
        <f t="shared" si="167"/>
        <v>MF2</v>
      </c>
      <c r="F160" s="129" t="str">
        <f t="shared" si="167"/>
        <v>Metal ores (gross ores)</v>
      </c>
      <c r="G160" s="141">
        <f t="shared" ref="G160:V162" si="168">G88/SUM(G$87:G$90)*SUM(G$91:G$92)+G88</f>
        <v>0.91127620622091599</v>
      </c>
      <c r="H160" s="141">
        <f t="shared" si="168"/>
        <v>0.86684844227244962</v>
      </c>
      <c r="I160" s="141">
        <f t="shared" si="168"/>
        <v>0.85839326998729037</v>
      </c>
      <c r="J160" s="141">
        <f t="shared" si="168"/>
        <v>0.8910607263107263</v>
      </c>
      <c r="K160" s="141">
        <f t="shared" si="168"/>
        <v>0.94909299642321443</v>
      </c>
      <c r="L160" s="141">
        <f t="shared" si="168"/>
        <v>0.96532662166800132</v>
      </c>
      <c r="M160" s="141">
        <f t="shared" si="168"/>
        <v>0.98542738867755653</v>
      </c>
      <c r="N160" s="141">
        <f t="shared" si="168"/>
        <v>0.99086785810993772</v>
      </c>
      <c r="O160" s="141">
        <f t="shared" si="168"/>
        <v>0.96604640883977899</v>
      </c>
      <c r="P160" s="141">
        <f t="shared" si="168"/>
        <v>0.69529273343373488</v>
      </c>
      <c r="Q160" s="141">
        <f t="shared" si="168"/>
        <v>0.89532679361415657</v>
      </c>
      <c r="R160" s="141">
        <f t="shared" si="168"/>
        <v>0.93852462409447868</v>
      </c>
      <c r="S160" s="141">
        <f t="shared" si="168"/>
        <v>0.91036204874234328</v>
      </c>
      <c r="T160" s="141">
        <f t="shared" si="168"/>
        <v>1.0028873567812417</v>
      </c>
      <c r="U160" s="141">
        <f t="shared" si="168"/>
        <v>0.96169202299914081</v>
      </c>
      <c r="V160" s="141">
        <f t="shared" si="168"/>
        <v>0.98684756541901286</v>
      </c>
      <c r="W160" s="141">
        <f t="shared" si="163"/>
        <v>1.0116442588172898</v>
      </c>
      <c r="X160" s="141">
        <f t="shared" si="163"/>
        <v>1.0343625369870062</v>
      </c>
      <c r="Y160" s="141">
        <f t="shared" ref="Y160" si="169">Y88/SUM(Y$87:Y$90)*SUM(Y$91:Y$92)+Y88</f>
        <v>1.0803088113315895</v>
      </c>
      <c r="Z160" s="141">
        <f t="shared" ref="Z160" si="170">Z88/SUM(Z$87:Z$90)*SUM(Z$91:Z$92)+Z88</f>
        <v>1.0480680897576029</v>
      </c>
      <c r="AA160" s="141">
        <f t="shared" ref="AA160" si="171">AA88/SUM(AA$87:AA$90)*SUM(AA$91:AA$92)+AA88</f>
        <v>0.97718650820447017</v>
      </c>
      <c r="AB160" s="14"/>
    </row>
    <row r="161" spans="2:28">
      <c r="B161" s="13"/>
      <c r="C161" s="130" t="str">
        <f t="shared" ref="C161:F161" si="172">C126</f>
        <v>DMI</v>
      </c>
      <c r="D161" s="130" t="str">
        <f t="shared" si="172"/>
        <v>Direct material inputs</v>
      </c>
      <c r="E161" s="130" t="str">
        <f t="shared" si="172"/>
        <v>MF3</v>
      </c>
      <c r="F161" s="129" t="str">
        <f t="shared" si="172"/>
        <v>Non-metallic minerals</v>
      </c>
      <c r="G161" s="141">
        <f t="shared" si="168"/>
        <v>7.5946381949546904</v>
      </c>
      <c r="H161" s="141">
        <f t="shared" si="163"/>
        <v>7.7353416615760535</v>
      </c>
      <c r="I161" s="141">
        <f t="shared" si="163"/>
        <v>7.787858379228954</v>
      </c>
      <c r="J161" s="141">
        <f t="shared" si="163"/>
        <v>8.0145179773929769</v>
      </c>
      <c r="K161" s="141">
        <f t="shared" si="163"/>
        <v>8.2117176647052048</v>
      </c>
      <c r="L161" s="141">
        <f t="shared" si="163"/>
        <v>8.509957499141974</v>
      </c>
      <c r="M161" s="141">
        <f t="shared" si="163"/>
        <v>9.0327492168270318</v>
      </c>
      <c r="N161" s="141">
        <f t="shared" si="163"/>
        <v>9.5616233414568104</v>
      </c>
      <c r="O161" s="141">
        <f t="shared" si="163"/>
        <v>9.1875038674033149</v>
      </c>
      <c r="P161" s="141">
        <f t="shared" si="163"/>
        <v>7.7337481174698794</v>
      </c>
      <c r="Q161" s="141">
        <f t="shared" si="163"/>
        <v>7.2250555876130029</v>
      </c>
      <c r="R161" s="141">
        <f t="shared" si="163"/>
        <v>7.7861291775735069</v>
      </c>
      <c r="S161" s="141">
        <f t="shared" si="163"/>
        <v>6.8961939267561574</v>
      </c>
      <c r="T161" s="141">
        <f t="shared" si="163"/>
        <v>6.5112083666400213</v>
      </c>
      <c r="U161" s="141">
        <f t="shared" si="163"/>
        <v>6.5272073888044408</v>
      </c>
      <c r="V161" s="141">
        <f t="shared" si="163"/>
        <v>6.6508889036104666</v>
      </c>
      <c r="W161" s="141">
        <f t="shared" si="163"/>
        <v>6.6367090957305752</v>
      </c>
      <c r="X161" s="141">
        <f t="shared" si="163"/>
        <v>6.9478888460054034</v>
      </c>
      <c r="Y161" s="141">
        <f t="shared" ref="Y161" si="173">Y89/SUM(Y$87:Y$90)*SUM(Y$91:Y$92)+Y89</f>
        <v>7.1785006061379448</v>
      </c>
      <c r="Z161" s="141">
        <f t="shared" ref="Z161" si="174">Z89/SUM(Z$87:Z$90)*SUM(Z$91:Z$92)+Z89</f>
        <v>7.3637648042178352</v>
      </c>
      <c r="AA161" s="141">
        <f t="shared" ref="AA161" si="175">AA89/SUM(AA$87:AA$90)*SUM(AA$91:AA$92)+AA89</f>
        <v>7.1879292997501523</v>
      </c>
      <c r="AB161" s="14"/>
    </row>
    <row r="162" spans="2:28">
      <c r="B162" s="13"/>
      <c r="C162" s="130" t="str">
        <f t="shared" ref="C162:F162" si="176">C127</f>
        <v>DMI</v>
      </c>
      <c r="D162" s="132" t="str">
        <f t="shared" si="176"/>
        <v>Direct material inputs</v>
      </c>
      <c r="E162" s="132" t="str">
        <f t="shared" si="176"/>
        <v>MF4</v>
      </c>
      <c r="F162" s="133" t="str">
        <f t="shared" si="176"/>
        <v>Fossil energy materials/carriers</v>
      </c>
      <c r="G162" s="141">
        <f t="shared" si="168"/>
        <v>4.1062688586823413</v>
      </c>
      <c r="H162" s="141">
        <f t="shared" si="163"/>
        <v>4.0881496640195483</v>
      </c>
      <c r="I162" s="141">
        <f t="shared" si="163"/>
        <v>4.1904467711674629</v>
      </c>
      <c r="J162" s="141">
        <f t="shared" si="163"/>
        <v>4.3114868326118323</v>
      </c>
      <c r="K162" s="141">
        <f t="shared" si="163"/>
        <v>4.3318093919464635</v>
      </c>
      <c r="L162" s="141">
        <f t="shared" si="163"/>
        <v>4.3117922434504061</v>
      </c>
      <c r="M162" s="141">
        <f t="shared" si="163"/>
        <v>4.3479469680017901</v>
      </c>
      <c r="N162" s="141">
        <f t="shared" si="163"/>
        <v>4.2813539128080151</v>
      </c>
      <c r="O162" s="141">
        <f t="shared" si="163"/>
        <v>4.2425538121546964</v>
      </c>
      <c r="P162" s="141">
        <f t="shared" si="163"/>
        <v>3.9282530120481929</v>
      </c>
      <c r="Q162" s="141">
        <f t="shared" si="163"/>
        <v>3.9750898249663398</v>
      </c>
      <c r="R162" s="141">
        <f t="shared" si="163"/>
        <v>4.0259886771778168</v>
      </c>
      <c r="S162" s="141">
        <f t="shared" si="163"/>
        <v>3.9999536035448977</v>
      </c>
      <c r="T162" s="141">
        <f t="shared" si="163"/>
        <v>3.8633841593391955</v>
      </c>
      <c r="U162" s="141">
        <f t="shared" si="163"/>
        <v>3.7590666182010444</v>
      </c>
      <c r="V162" s="141">
        <f t="shared" si="163"/>
        <v>3.8264283537595229</v>
      </c>
      <c r="W162" s="141">
        <f t="shared" si="163"/>
        <v>3.7470173693980375</v>
      </c>
      <c r="X162" s="141">
        <f t="shared" si="163"/>
        <v>3.7812257815515244</v>
      </c>
      <c r="Y162" s="141">
        <f t="shared" ref="Y162" si="177">Y90/SUM(Y$87:Y$90)*SUM(Y$91:Y$92)+Y90</f>
        <v>3.7487725387609263</v>
      </c>
      <c r="Z162" s="141">
        <f t="shared" ref="Z162" si="178">Z90/SUM(Z$87:Z$90)*SUM(Z$91:Z$92)+Z90</f>
        <v>3.4868224779785253</v>
      </c>
      <c r="AA162" s="141">
        <f t="shared" ref="AA162" si="179">AA90/SUM(AA$87:AA$90)*SUM(AA$91:AA$92)+AA90</f>
        <v>2.990170504422986</v>
      </c>
      <c r="AB162" s="14"/>
    </row>
    <row r="163" spans="2:28">
      <c r="B163" s="13"/>
      <c r="C163" s="109" t="str">
        <f t="shared" ref="C163:F163" si="180">C128</f>
        <v>PTB</v>
      </c>
      <c r="D163" s="109" t="str">
        <f t="shared" si="180"/>
        <v>Physical trade balance</v>
      </c>
      <c r="E163" s="109" t="str">
        <f t="shared" si="180"/>
        <v>TOTAL</v>
      </c>
      <c r="F163" s="134" t="str">
        <f t="shared" si="180"/>
        <v>Total</v>
      </c>
      <c r="G163" s="141">
        <f>G65-G72</f>
        <v>2.4290000000000003</v>
      </c>
      <c r="H163" s="141">
        <f t="shared" ref="H163:X163" si="181">H65-H72</f>
        <v>2.3780000000000001</v>
      </c>
      <c r="I163" s="141">
        <f t="shared" si="181"/>
        <v>2.4699999999999998</v>
      </c>
      <c r="J163" s="141">
        <f t="shared" si="181"/>
        <v>2.63</v>
      </c>
      <c r="K163" s="141">
        <f t="shared" si="181"/>
        <v>2.6850000000000001</v>
      </c>
      <c r="L163" s="141">
        <f t="shared" si="181"/>
        <v>2.6719999999999997</v>
      </c>
      <c r="M163" s="141">
        <f t="shared" si="181"/>
        <v>2.7110000000000003</v>
      </c>
      <c r="N163" s="141">
        <f t="shared" si="181"/>
        <v>2.7389999999999999</v>
      </c>
      <c r="O163" s="141">
        <f t="shared" si="181"/>
        <v>2.66</v>
      </c>
      <c r="P163" s="141">
        <f t="shared" si="181"/>
        <v>2.1179999999999999</v>
      </c>
      <c r="Q163" s="141">
        <f t="shared" si="181"/>
        <v>2.2330000000000001</v>
      </c>
      <c r="R163" s="141">
        <f t="shared" si="181"/>
        <v>2.25</v>
      </c>
      <c r="S163" s="141">
        <f t="shared" si="181"/>
        <v>2.0300000000000002</v>
      </c>
      <c r="T163" s="141">
        <f t="shared" si="181"/>
        <v>1.9239999999999999</v>
      </c>
      <c r="U163" s="141">
        <f t="shared" si="181"/>
        <v>1.9389999999999998</v>
      </c>
      <c r="V163" s="141">
        <f t="shared" si="181"/>
        <v>2.0710000000000002</v>
      </c>
      <c r="W163" s="141">
        <f t="shared" si="181"/>
        <v>2.0570000000000004</v>
      </c>
      <c r="X163" s="141">
        <f t="shared" si="181"/>
        <v>2.09</v>
      </c>
      <c r="Y163" s="141">
        <f t="shared" ref="Y163:Z163" si="182">Y65-Y72</f>
        <v>2.2090000000000001</v>
      </c>
      <c r="Z163" s="141">
        <f t="shared" si="182"/>
        <v>2.1340000000000003</v>
      </c>
      <c r="AA163" s="141">
        <f t="shared" ref="AA163" si="183">AA65-AA72</f>
        <v>1.804</v>
      </c>
      <c r="AB163" s="14"/>
    </row>
    <row r="164" spans="2:28">
      <c r="B164" s="13"/>
      <c r="C164" s="109" t="str">
        <f t="shared" ref="C164:F164" si="184">C129</f>
        <v>PTB</v>
      </c>
      <c r="D164" s="109" t="str">
        <f t="shared" si="184"/>
        <v>Physical trade balance</v>
      </c>
      <c r="E164" s="109" t="str">
        <f t="shared" si="184"/>
        <v>MF1</v>
      </c>
      <c r="F164" s="137" t="str">
        <f t="shared" si="184"/>
        <v>Biomass</v>
      </c>
      <c r="G164" s="141">
        <f>G144-G149</f>
        <v>4.7345841233142116E-2</v>
      </c>
      <c r="H164" s="141">
        <f t="shared" ref="H164:X166" si="185">H144-H149</f>
        <v>6.6199314489744365E-2</v>
      </c>
      <c r="I164" s="141">
        <f t="shared" si="185"/>
        <v>7.6207359071324865E-2</v>
      </c>
      <c r="J164" s="141">
        <f t="shared" si="185"/>
        <v>6.7475470023400319E-2</v>
      </c>
      <c r="K164" s="141">
        <f t="shared" si="185"/>
        <v>7.8560772792210298E-2</v>
      </c>
      <c r="L164" s="141">
        <f t="shared" si="185"/>
        <v>4.7474328136995037E-2</v>
      </c>
      <c r="M164" s="141">
        <f t="shared" si="185"/>
        <v>3.6394427525602957E-2</v>
      </c>
      <c r="N164" s="141">
        <f t="shared" si="185"/>
        <v>9.4025579215213595E-2</v>
      </c>
      <c r="O164" s="141">
        <f t="shared" si="185"/>
        <v>5.8108542394006979E-2</v>
      </c>
      <c r="P164" s="141">
        <f t="shared" si="185"/>
        <v>1.6300280920141796E-3</v>
      </c>
      <c r="Q164" s="141">
        <f t="shared" si="185"/>
        <v>-1.7775244514935229E-2</v>
      </c>
      <c r="R164" s="141">
        <f t="shared" si="185"/>
        <v>-3.080122390835438E-3</v>
      </c>
      <c r="S164" s="141">
        <f t="shared" si="185"/>
        <v>-1.7703574542284217E-2</v>
      </c>
      <c r="T164" s="141">
        <f t="shared" si="185"/>
        <v>-5.1372634045349863E-2</v>
      </c>
      <c r="U164" s="141">
        <f t="shared" si="185"/>
        <v>-3.8531577299663833E-2</v>
      </c>
      <c r="V164" s="141">
        <f t="shared" si="185"/>
        <v>-6.3111633266842215E-2</v>
      </c>
      <c r="W164" s="141">
        <f t="shared" si="185"/>
        <v>-5.1092250242303572E-2</v>
      </c>
      <c r="X164" s="141">
        <f t="shared" si="185"/>
        <v>-3.0688825984464985E-2</v>
      </c>
      <c r="Y164" s="141">
        <f t="shared" ref="Y164:Z164" si="186">Y144-Y149</f>
        <v>8.2377673881408042E-3</v>
      </c>
      <c r="Z164" s="141">
        <f t="shared" si="186"/>
        <v>-2.8095413056930751E-2</v>
      </c>
      <c r="AA164" s="141">
        <f t="shared" ref="AA164" si="187">AA144-AA149</f>
        <v>-8.5432716915804785E-2</v>
      </c>
      <c r="AB164" s="14"/>
    </row>
    <row r="165" spans="2:28">
      <c r="B165" s="13"/>
      <c r="C165" s="109" t="str">
        <f t="shared" ref="C165:F165" si="188">C130</f>
        <v>PTB</v>
      </c>
      <c r="D165" s="109" t="str">
        <f t="shared" si="188"/>
        <v>Physical trade balance</v>
      </c>
      <c r="E165" s="109" t="str">
        <f t="shared" si="188"/>
        <v>MF2</v>
      </c>
      <c r="F165" s="137" t="str">
        <f t="shared" si="188"/>
        <v>Metal ores (gross ores)</v>
      </c>
      <c r="G165" s="141">
        <f t="shared" ref="G165:V166" si="189">G145-G150</f>
        <v>0.35173784245318013</v>
      </c>
      <c r="H165" s="141">
        <f t="shared" si="189"/>
        <v>0.32243817269397035</v>
      </c>
      <c r="I165" s="141">
        <f t="shared" si="189"/>
        <v>0.30208075846937338</v>
      </c>
      <c r="J165" s="141">
        <f t="shared" si="189"/>
        <v>0.33801307189542479</v>
      </c>
      <c r="K165" s="141">
        <f t="shared" si="189"/>
        <v>0.37216628230644216</v>
      </c>
      <c r="L165" s="141">
        <f t="shared" si="189"/>
        <v>0.38637900512162454</v>
      </c>
      <c r="M165" s="141">
        <f t="shared" si="189"/>
        <v>0.39313674728512887</v>
      </c>
      <c r="N165" s="141">
        <f t="shared" si="189"/>
        <v>0.40025818362700649</v>
      </c>
      <c r="O165" s="141">
        <f t="shared" si="189"/>
        <v>0.36765486006448289</v>
      </c>
      <c r="P165" s="141">
        <f t="shared" si="189"/>
        <v>0.13506900052513693</v>
      </c>
      <c r="Q165" s="141">
        <f t="shared" si="189"/>
        <v>0.23792234998678297</v>
      </c>
      <c r="R165" s="141">
        <f t="shared" si="189"/>
        <v>0.23261801511744851</v>
      </c>
      <c r="S165" s="141">
        <f t="shared" si="189"/>
        <v>0.15963208369659981</v>
      </c>
      <c r="T165" s="141">
        <f t="shared" si="189"/>
        <v>0.20019281716408527</v>
      </c>
      <c r="U165" s="141">
        <f t="shared" si="189"/>
        <v>0.21846797190420014</v>
      </c>
      <c r="V165" s="141">
        <f t="shared" si="189"/>
        <v>0.27429336553300648</v>
      </c>
      <c r="W165" s="141">
        <f t="shared" si="185"/>
        <v>0.25829264242748401</v>
      </c>
      <c r="X165" s="141">
        <f t="shared" si="185"/>
        <v>0.25472151427908962</v>
      </c>
      <c r="Y165" s="141">
        <f t="shared" ref="Y165:Z165" si="190">Y145-Y150</f>
        <v>0.29398051890761651</v>
      </c>
      <c r="Z165" s="141">
        <f t="shared" si="190"/>
        <v>0.25473012711427395</v>
      </c>
      <c r="AA165" s="141">
        <f t="shared" ref="AA165" si="191">AA145-AA150</f>
        <v>0.20459438907695748</v>
      </c>
      <c r="AB165" s="14"/>
    </row>
    <row r="166" spans="2:28">
      <c r="B166" s="13"/>
      <c r="C166" s="109" t="str">
        <f t="shared" ref="C166:F166" si="192">C131</f>
        <v>PTB</v>
      </c>
      <c r="D166" s="109" t="str">
        <f t="shared" si="192"/>
        <v>Physical trade balance</v>
      </c>
      <c r="E166" s="109" t="str">
        <f t="shared" si="192"/>
        <v>MF3</v>
      </c>
      <c r="F166" s="137" t="str">
        <f t="shared" si="192"/>
        <v>Non-metallic minerals</v>
      </c>
      <c r="G166" s="141">
        <f t="shared" si="189"/>
        <v>3.7811538019810575E-2</v>
      </c>
      <c r="H166" s="141">
        <f t="shared" si="185"/>
        <v>4.1510262044732044E-2</v>
      </c>
      <c r="I166" s="141">
        <f t="shared" si="185"/>
        <v>4.4137559654722436E-2</v>
      </c>
      <c r="J166" s="141">
        <f t="shared" si="185"/>
        <v>5.8549987896393124E-2</v>
      </c>
      <c r="K166" s="141">
        <f t="shared" si="185"/>
        <v>6.4790795713418198E-2</v>
      </c>
      <c r="L166" s="141">
        <f t="shared" si="185"/>
        <v>5.9234626954463881E-2</v>
      </c>
      <c r="M166" s="141">
        <f t="shared" si="185"/>
        <v>7.3001689764722127E-2</v>
      </c>
      <c r="N166" s="141">
        <f t="shared" si="185"/>
        <v>9.8153762268266082E-2</v>
      </c>
      <c r="O166" s="141">
        <f t="shared" si="185"/>
        <v>6.860336150485527E-2</v>
      </c>
      <c r="P166" s="141">
        <f t="shared" si="185"/>
        <v>2.6111402586305815E-2</v>
      </c>
      <c r="Q166" s="141">
        <f t="shared" si="185"/>
        <v>2.8393338620142733E-2</v>
      </c>
      <c r="R166" s="141">
        <f t="shared" si="185"/>
        <v>3.5651523508227062E-2</v>
      </c>
      <c r="S166" s="141">
        <f t="shared" si="185"/>
        <v>-2.2464690496948575E-2</v>
      </c>
      <c r="T166" s="141">
        <f t="shared" si="185"/>
        <v>-4.4215664633244195E-2</v>
      </c>
      <c r="U166" s="141">
        <f t="shared" si="185"/>
        <v>-5.2516586250282493E-2</v>
      </c>
      <c r="V166" s="141">
        <f t="shared" si="185"/>
        <v>-5.8653922237714234E-2</v>
      </c>
      <c r="W166" s="141">
        <f t="shared" si="185"/>
        <v>-4.8496879899820045E-2</v>
      </c>
      <c r="X166" s="141">
        <f t="shared" si="185"/>
        <v>-2.7178561077404628E-2</v>
      </c>
      <c r="Y166" s="141">
        <f t="shared" ref="Y166:Z166" si="193">Y146-Y151</f>
        <v>-1.1376261899755241E-2</v>
      </c>
      <c r="Z166" s="141">
        <f t="shared" si="193"/>
        <v>1.7463361179867964E-2</v>
      </c>
      <c r="AA166" s="141">
        <f t="shared" ref="AA166" si="194">AA146-AA151</f>
        <v>2.2808096837641095E-2</v>
      </c>
      <c r="AB166" s="14"/>
    </row>
    <row r="167" spans="2:28">
      <c r="B167" s="13"/>
      <c r="C167" s="110" t="str">
        <f t="shared" ref="C167:F167" si="195">C132</f>
        <v>PTB</v>
      </c>
      <c r="D167" s="110" t="str">
        <f t="shared" si="195"/>
        <v>Physical trade balance</v>
      </c>
      <c r="E167" s="110" t="str">
        <f t="shared" si="195"/>
        <v>MF4</v>
      </c>
      <c r="F167" s="138" t="str">
        <f t="shared" si="195"/>
        <v>Fossil energy materials/carriers</v>
      </c>
      <c r="G167" s="255">
        <f>G147-G152</f>
        <v>1.9911047782938671</v>
      </c>
      <c r="H167" s="255">
        <f t="shared" ref="H167:X167" si="196">H147-H152</f>
        <v>1.9468522507715531</v>
      </c>
      <c r="I167" s="255">
        <f t="shared" si="196"/>
        <v>2.0495743228045793</v>
      </c>
      <c r="J167" s="255">
        <f t="shared" si="196"/>
        <v>2.165961470184782</v>
      </c>
      <c r="K167" s="255">
        <f t="shared" si="196"/>
        <v>2.1694821491879295</v>
      </c>
      <c r="L167" s="255">
        <f t="shared" si="196"/>
        <v>2.1779120397869165</v>
      </c>
      <c r="M167" s="255">
        <f t="shared" si="196"/>
        <v>2.208467135424546</v>
      </c>
      <c r="N167" s="255">
        <f t="shared" si="196"/>
        <v>2.148562474889514</v>
      </c>
      <c r="O167" s="255">
        <f t="shared" si="196"/>
        <v>2.1656332360366548</v>
      </c>
      <c r="P167" s="255">
        <f t="shared" si="196"/>
        <v>1.9541895687965432</v>
      </c>
      <c r="Q167" s="255">
        <f t="shared" si="196"/>
        <v>1.9844595559080098</v>
      </c>
      <c r="R167" s="255">
        <f t="shared" si="196"/>
        <v>1.9858105837651601</v>
      </c>
      <c r="S167" s="255">
        <f t="shared" si="196"/>
        <v>1.909536181342633</v>
      </c>
      <c r="T167" s="255">
        <f t="shared" si="196"/>
        <v>1.8213954815145086</v>
      </c>
      <c r="U167" s="255">
        <f t="shared" si="196"/>
        <v>1.8115801916457464</v>
      </c>
      <c r="V167" s="255">
        <f t="shared" si="196"/>
        <v>1.9174721899715497</v>
      </c>
      <c r="W167" s="255">
        <f t="shared" si="196"/>
        <v>1.8972964877146394</v>
      </c>
      <c r="X167" s="255">
        <f t="shared" si="196"/>
        <v>1.8941458727827802</v>
      </c>
      <c r="Y167" s="255">
        <f t="shared" ref="Y167:Z167" si="197">Y147-Y152</f>
        <v>1.9191579756039978</v>
      </c>
      <c r="Z167" s="255">
        <f t="shared" si="197"/>
        <v>1.888901924762789</v>
      </c>
      <c r="AA167" s="255">
        <f t="shared" ref="AA167" si="198">AA147-AA152</f>
        <v>1.6610302310012064</v>
      </c>
      <c r="AB167" s="14"/>
    </row>
    <row r="168" spans="2:28" ht="12" thickBot="1">
      <c r="B168" s="16"/>
      <c r="C168" s="142"/>
      <c r="D168" s="142"/>
      <c r="E168" s="142"/>
      <c r="F168" s="17"/>
      <c r="G168" s="17"/>
      <c r="H168" s="17"/>
      <c r="I168" s="17"/>
      <c r="J168" s="17"/>
      <c r="K168" s="17"/>
      <c r="L168" s="17"/>
      <c r="M168" s="17"/>
      <c r="N168" s="17"/>
      <c r="O168" s="17"/>
      <c r="P168" s="17"/>
      <c r="Q168" s="17"/>
      <c r="R168" s="17"/>
      <c r="S168" s="17"/>
      <c r="T168" s="17"/>
      <c r="U168" s="17"/>
      <c r="V168" s="17"/>
      <c r="W168" s="17"/>
      <c r="X168" s="17"/>
      <c r="Y168" s="17"/>
      <c r="Z168" s="17"/>
      <c r="AA168" s="17"/>
      <c r="AB168" s="18"/>
    </row>
    <row r="172" spans="2:28">
      <c r="C172" s="8"/>
      <c r="D172" s="8"/>
      <c r="E172" s="8"/>
      <c r="F172" s="8"/>
      <c r="G172" s="8">
        <v>2000</v>
      </c>
      <c r="H172" s="9">
        <v>2001</v>
      </c>
      <c r="I172" s="8">
        <v>2002</v>
      </c>
      <c r="J172" s="9">
        <v>2003</v>
      </c>
      <c r="K172" s="8">
        <v>2004</v>
      </c>
      <c r="L172" s="9">
        <v>2005</v>
      </c>
      <c r="M172" s="8">
        <v>2006</v>
      </c>
      <c r="N172" s="9">
        <v>2007</v>
      </c>
      <c r="O172" s="8">
        <v>2008</v>
      </c>
      <c r="P172" s="9">
        <v>2009</v>
      </c>
      <c r="Q172" s="8">
        <v>2010</v>
      </c>
      <c r="R172" s="9">
        <v>2011</v>
      </c>
      <c r="S172" s="8">
        <v>2012</v>
      </c>
      <c r="T172" s="9">
        <v>2013</v>
      </c>
      <c r="U172" s="8">
        <v>2014</v>
      </c>
      <c r="V172" s="9">
        <v>2015</v>
      </c>
      <c r="W172" s="9">
        <v>2016</v>
      </c>
      <c r="X172" s="9">
        <v>2017</v>
      </c>
      <c r="Y172" s="9">
        <v>2018</v>
      </c>
      <c r="Z172" s="9">
        <v>2019</v>
      </c>
      <c r="AA172" s="9">
        <v>2020</v>
      </c>
    </row>
    <row r="173" spans="2:28">
      <c r="G173" s="8"/>
      <c r="H173" s="9"/>
      <c r="I173" s="8"/>
      <c r="J173" s="9"/>
      <c r="K173" s="8"/>
      <c r="L173" s="9"/>
      <c r="M173" s="8"/>
      <c r="N173" s="272" t="s">
        <v>321</v>
      </c>
      <c r="O173" s="273"/>
      <c r="P173" s="272"/>
      <c r="Q173" s="273" t="s">
        <v>322</v>
      </c>
      <c r="R173" s="272"/>
      <c r="S173" s="273"/>
      <c r="T173" s="272"/>
      <c r="U173" s="273"/>
      <c r="V173" s="272"/>
      <c r="W173" s="272"/>
      <c r="X173" s="272" t="s">
        <v>323</v>
      </c>
      <c r="Y173" s="272" t="s">
        <v>323</v>
      </c>
      <c r="Z173" s="272" t="s">
        <v>323</v>
      </c>
      <c r="AA173" s="272" t="s">
        <v>323</v>
      </c>
    </row>
    <row r="174" spans="2:28">
      <c r="C174" s="269" t="s">
        <v>80</v>
      </c>
      <c r="D174" s="269" t="s">
        <v>1</v>
      </c>
      <c r="E174" s="269" t="s">
        <v>85</v>
      </c>
      <c r="F174" s="269" t="s">
        <v>33</v>
      </c>
      <c r="G174" s="269"/>
      <c r="H174" s="269"/>
      <c r="I174" s="269"/>
      <c r="J174" s="269"/>
      <c r="K174" s="269"/>
      <c r="L174" s="269"/>
      <c r="M174" s="269"/>
      <c r="N174" s="271">
        <f>N141/G141-1</f>
        <v>0.25462207721587804</v>
      </c>
      <c r="O174" s="269"/>
      <c r="P174" s="269"/>
      <c r="Q174" s="271">
        <f>Q141/N141-1</f>
        <v>-0.24607216383140096</v>
      </c>
      <c r="R174" s="269"/>
      <c r="S174" s="269"/>
      <c r="T174" s="269"/>
      <c r="U174" s="269"/>
      <c r="V174" s="269"/>
      <c r="W174" s="269"/>
      <c r="X174" s="271">
        <f>X141/$Q141-1</f>
        <v>-4.1678643288301287E-2</v>
      </c>
      <c r="Y174" s="271">
        <f>Y141/$Q141-1</f>
        <v>-1.0778959471112404E-2</v>
      </c>
      <c r="Z174" s="271">
        <f>Z141/$Q141-1</f>
        <v>1.3078470824949617E-2</v>
      </c>
      <c r="AA174" s="271">
        <f>AA141/$Q141-1</f>
        <v>-1.0778959471112404E-2</v>
      </c>
    </row>
  </sheetData>
  <pageMargins left="0.7" right="0.7" top="0.75" bottom="0.75" header="0.3" footer="0.3"/>
  <pageSetup paperSize="9" orientation="portrait" r:id="rId1"/>
  <ignoredErrors>
    <ignoredError sqref="I11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31"/>
  <sheetViews>
    <sheetView showGridLines="0" workbookViewId="0"/>
  </sheetViews>
  <sheetFormatPr defaultColWidth="8.81640625" defaultRowHeight="11.5"/>
  <cols>
    <col min="1" max="3" width="4.7265625" style="3" customWidth="1"/>
    <col min="4" max="4" width="69.26953125" style="3" bestFit="1" customWidth="1"/>
    <col min="5" max="5" width="11.1796875" style="3" customWidth="1"/>
    <col min="6" max="18" width="11.1796875" style="3" bestFit="1" customWidth="1"/>
    <col min="19" max="25" width="11.1796875" style="3" customWidth="1"/>
    <col min="26" max="16384" width="8.81640625" style="3"/>
  </cols>
  <sheetData>
    <row r="1" spans="1:26" ht="15.5">
      <c r="A1" s="222" t="s">
        <v>71</v>
      </c>
    </row>
    <row r="2" spans="1:26" ht="12" thickBot="1"/>
    <row r="3" spans="1:26">
      <c r="C3" s="116" t="s">
        <v>51</v>
      </c>
      <c r="D3" s="19"/>
      <c r="E3" s="19" t="s">
        <v>96</v>
      </c>
      <c r="F3" s="19"/>
      <c r="G3" s="117" t="s">
        <v>332</v>
      </c>
      <c r="H3" s="19"/>
      <c r="I3" s="19"/>
      <c r="J3" s="19"/>
      <c r="K3" s="19"/>
      <c r="L3" s="19"/>
      <c r="M3" s="19"/>
      <c r="N3" s="19"/>
      <c r="O3" s="19"/>
      <c r="P3" s="19"/>
      <c r="Q3" s="19"/>
      <c r="R3" s="19"/>
      <c r="S3" s="19"/>
      <c r="T3" s="19"/>
      <c r="U3" s="19"/>
      <c r="V3" s="19"/>
      <c r="W3" s="19"/>
      <c r="X3" s="19"/>
      <c r="Y3" s="19"/>
      <c r="Z3" s="20"/>
    </row>
    <row r="4" spans="1:26">
      <c r="C4" s="13"/>
      <c r="D4" s="15"/>
      <c r="E4" s="15"/>
      <c r="F4" s="15"/>
      <c r="G4" s="15"/>
      <c r="H4" s="15"/>
      <c r="I4" s="15"/>
      <c r="J4" s="15"/>
      <c r="K4" s="15"/>
      <c r="L4" s="15"/>
      <c r="M4" s="15"/>
      <c r="N4" s="15"/>
      <c r="O4" s="15"/>
      <c r="P4" s="15"/>
      <c r="Q4" s="15"/>
      <c r="R4" s="15"/>
      <c r="S4" s="15"/>
      <c r="T4" s="15"/>
      <c r="U4" s="15"/>
      <c r="V4" s="15"/>
      <c r="W4" s="15"/>
      <c r="X4" s="15"/>
      <c r="Y4" s="15"/>
      <c r="Z4" s="14"/>
    </row>
    <row r="5" spans="1:26">
      <c r="C5" s="13"/>
      <c r="D5" s="11" t="s">
        <v>102</v>
      </c>
      <c r="Z5" s="14"/>
    </row>
    <row r="6" spans="1:26">
      <c r="C6" s="13"/>
      <c r="Z6" s="14"/>
    </row>
    <row r="7" spans="1:26">
      <c r="C7" s="13"/>
      <c r="D7" s="11" t="s">
        <v>9</v>
      </c>
      <c r="E7" s="148">
        <v>44448.126597222217</v>
      </c>
      <c r="Z7" s="14"/>
    </row>
    <row r="8" spans="1:26">
      <c r="C8" s="13"/>
      <c r="D8" s="11" t="s">
        <v>10</v>
      </c>
      <c r="E8" s="148">
        <v>44449.75073443287</v>
      </c>
      <c r="Z8" s="14"/>
    </row>
    <row r="9" spans="1:26">
      <c r="C9" s="13"/>
      <c r="D9" s="11" t="s">
        <v>11</v>
      </c>
      <c r="E9" s="11" t="s">
        <v>12</v>
      </c>
      <c r="Z9" s="14"/>
    </row>
    <row r="10" spans="1:26">
      <c r="C10" s="13"/>
      <c r="Z10" s="14"/>
    </row>
    <row r="11" spans="1:26">
      <c r="C11" s="13"/>
      <c r="D11" s="11" t="s">
        <v>68</v>
      </c>
      <c r="E11" s="11" t="s">
        <v>69</v>
      </c>
      <c r="Z11" s="14"/>
    </row>
    <row r="12" spans="1:26">
      <c r="C12" s="13"/>
      <c r="D12" s="11" t="s">
        <v>103</v>
      </c>
      <c r="E12" s="11" t="s">
        <v>104</v>
      </c>
      <c r="Z12" s="14"/>
    </row>
    <row r="13" spans="1:26">
      <c r="C13" s="13"/>
      <c r="D13" s="11" t="s">
        <v>15</v>
      </c>
      <c r="E13" s="11" t="s">
        <v>303</v>
      </c>
      <c r="Z13" s="14"/>
    </row>
    <row r="14" spans="1:26">
      <c r="C14" s="13"/>
      <c r="Z14" s="14"/>
    </row>
    <row r="15" spans="1:26">
      <c r="C15" s="13"/>
      <c r="D15" s="84" t="s">
        <v>70</v>
      </c>
      <c r="E15" s="84" t="s">
        <v>16</v>
      </c>
      <c r="F15" s="84" t="s">
        <v>17</v>
      </c>
      <c r="G15" s="84" t="s">
        <v>18</v>
      </c>
      <c r="H15" s="84" t="s">
        <v>19</v>
      </c>
      <c r="I15" s="84" t="s">
        <v>20</v>
      </c>
      <c r="J15" s="84" t="s">
        <v>21</v>
      </c>
      <c r="K15" s="84" t="s">
        <v>22</v>
      </c>
      <c r="L15" s="84" t="s">
        <v>23</v>
      </c>
      <c r="M15" s="84" t="s">
        <v>24</v>
      </c>
      <c r="N15" s="84" t="s">
        <v>25</v>
      </c>
      <c r="O15" s="84" t="s">
        <v>26</v>
      </c>
      <c r="P15" s="84" t="s">
        <v>27</v>
      </c>
      <c r="Q15" s="84" t="s">
        <v>28</v>
      </c>
      <c r="R15" s="84" t="s">
        <v>48</v>
      </c>
      <c r="S15" s="84" t="s">
        <v>76</v>
      </c>
      <c r="T15" s="84" t="s">
        <v>101</v>
      </c>
      <c r="U15" s="84" t="s">
        <v>106</v>
      </c>
      <c r="V15" s="84" t="s">
        <v>289</v>
      </c>
      <c r="W15" s="84" t="s">
        <v>291</v>
      </c>
      <c r="X15" s="84" t="s">
        <v>300</v>
      </c>
      <c r="Y15" s="84" t="s">
        <v>326</v>
      </c>
      <c r="Z15" s="14"/>
    </row>
    <row r="16" spans="1:26">
      <c r="C16" s="13"/>
      <c r="D16" s="84" t="s">
        <v>107</v>
      </c>
      <c r="E16" s="149">
        <v>101.35599999999999</v>
      </c>
      <c r="F16" s="149">
        <v>102.435</v>
      </c>
      <c r="G16" s="149">
        <v>102.441</v>
      </c>
      <c r="H16" s="149">
        <v>103.458</v>
      </c>
      <c r="I16" s="149">
        <v>105.176</v>
      </c>
      <c r="J16" s="149">
        <v>106.46599999999999</v>
      </c>
      <c r="K16" s="149">
        <v>110.83799999999999</v>
      </c>
      <c r="L16" s="149">
        <v>112.967</v>
      </c>
      <c r="M16" s="149">
        <v>111.85899999999999</v>
      </c>
      <c r="N16" s="149">
        <v>105.066</v>
      </c>
      <c r="O16" s="149">
        <v>100</v>
      </c>
      <c r="P16" s="149">
        <v>97.662000000000006</v>
      </c>
      <c r="Q16" s="149">
        <v>92.688000000000002</v>
      </c>
      <c r="R16" s="149">
        <v>89.453000000000003</v>
      </c>
      <c r="S16" s="150">
        <v>89.397000000000006</v>
      </c>
      <c r="T16" s="150">
        <v>90.903999999999996</v>
      </c>
      <c r="U16" s="150">
        <v>91.912000000000006</v>
      </c>
      <c r="V16" s="150">
        <v>94.135000000000005</v>
      </c>
      <c r="W16" s="150">
        <v>96.613</v>
      </c>
      <c r="X16" s="150">
        <v>98.534000000000006</v>
      </c>
      <c r="Y16" s="150">
        <v>93.745000000000005</v>
      </c>
      <c r="Z16" s="14"/>
    </row>
    <row r="17" spans="3:26">
      <c r="C17" s="13"/>
      <c r="D17" s="151" t="s">
        <v>105</v>
      </c>
      <c r="E17" s="149">
        <v>578184.9</v>
      </c>
      <c r="F17" s="149">
        <v>584338.69999999995</v>
      </c>
      <c r="G17" s="149">
        <v>584371.4</v>
      </c>
      <c r="H17" s="149">
        <v>590177</v>
      </c>
      <c r="I17" s="149">
        <v>599976.19999999995</v>
      </c>
      <c r="J17" s="149">
        <v>607336</v>
      </c>
      <c r="K17" s="149">
        <v>632271.9</v>
      </c>
      <c r="L17" s="149">
        <v>644419.69999999995</v>
      </c>
      <c r="M17" s="149">
        <v>638097.4</v>
      </c>
      <c r="N17" s="149">
        <v>599345.80000000005</v>
      </c>
      <c r="O17" s="149">
        <v>570449.19999999995</v>
      </c>
      <c r="P17" s="149">
        <v>557111.1</v>
      </c>
      <c r="Q17" s="149">
        <v>528737.4</v>
      </c>
      <c r="R17" s="149">
        <v>510282.5</v>
      </c>
      <c r="S17" s="149">
        <v>509964.2</v>
      </c>
      <c r="T17" s="149">
        <v>518561.1</v>
      </c>
      <c r="U17" s="149">
        <v>524311.5</v>
      </c>
      <c r="V17" s="149">
        <v>536993.9</v>
      </c>
      <c r="W17" s="149">
        <v>551127.9</v>
      </c>
      <c r="X17" s="149">
        <v>562083.9</v>
      </c>
      <c r="Y17" s="149">
        <v>534766</v>
      </c>
      <c r="Z17" s="14"/>
    </row>
    <row r="18" spans="3:26">
      <c r="C18" s="13"/>
      <c r="D18" s="84" t="s">
        <v>108</v>
      </c>
      <c r="E18" s="150">
        <v>3.1</v>
      </c>
      <c r="F18" s="149">
        <v>4.0999999999999996</v>
      </c>
      <c r="G18" s="149">
        <v>3.9</v>
      </c>
      <c r="H18" s="149">
        <v>3.2</v>
      </c>
      <c r="I18" s="149">
        <v>4.3</v>
      </c>
      <c r="J18" s="149">
        <v>4.5999999999999996</v>
      </c>
      <c r="K18" s="149">
        <v>5.3</v>
      </c>
      <c r="L18" s="149">
        <v>5.2</v>
      </c>
      <c r="M18" s="149">
        <v>5.7</v>
      </c>
      <c r="N18" s="149">
        <v>-0.3</v>
      </c>
      <c r="O18" s="149">
        <v>0.6</v>
      </c>
      <c r="P18" s="149">
        <v>2.1</v>
      </c>
      <c r="Q18" s="149">
        <v>2.1</v>
      </c>
      <c r="R18" s="149">
        <v>1.1000000000000001</v>
      </c>
      <c r="S18" s="150">
        <v>0.7</v>
      </c>
      <c r="T18" s="150">
        <v>0.7</v>
      </c>
      <c r="U18" s="150">
        <v>1.8</v>
      </c>
      <c r="V18" s="150">
        <v>2.5</v>
      </c>
      <c r="W18" s="150">
        <v>3.5</v>
      </c>
      <c r="X18" s="150">
        <v>4.5999999999999996</v>
      </c>
      <c r="Y18" s="150">
        <v>3.7</v>
      </c>
      <c r="Z18" s="14"/>
    </row>
    <row r="19" spans="3:26">
      <c r="C19" s="13"/>
      <c r="Z19" s="14"/>
    </row>
    <row r="20" spans="3:26">
      <c r="C20" s="13"/>
      <c r="D20" s="11" t="s">
        <v>38</v>
      </c>
      <c r="Z20" s="14"/>
    </row>
    <row r="21" spans="3:26">
      <c r="C21" s="13"/>
      <c r="D21" s="11" t="s">
        <v>36</v>
      </c>
      <c r="E21" s="11" t="s">
        <v>39</v>
      </c>
      <c r="M21" s="143"/>
      <c r="Z21" s="14"/>
    </row>
    <row r="22" spans="3:26" ht="12" thickBot="1">
      <c r="C22" s="16"/>
      <c r="D22" s="17"/>
      <c r="E22" s="17"/>
      <c r="F22" s="17"/>
      <c r="G22" s="17"/>
      <c r="H22" s="17"/>
      <c r="I22" s="17"/>
      <c r="J22" s="17"/>
      <c r="K22" s="17"/>
      <c r="L22" s="17"/>
      <c r="M22" s="17"/>
      <c r="N22" s="17"/>
      <c r="O22" s="17"/>
      <c r="P22" s="17"/>
      <c r="Q22" s="17"/>
      <c r="R22" s="17"/>
      <c r="S22" s="17"/>
      <c r="T22" s="17"/>
      <c r="U22" s="17"/>
      <c r="V22" s="17"/>
      <c r="W22" s="17"/>
      <c r="X22" s="17"/>
      <c r="Y22" s="17"/>
      <c r="Z22" s="18"/>
    </row>
    <row r="26" spans="3:26">
      <c r="L26" s="3" t="s">
        <v>321</v>
      </c>
      <c r="O26" s="3" t="s">
        <v>322</v>
      </c>
      <c r="T26" s="3" t="s">
        <v>323</v>
      </c>
      <c r="U26" s="3" t="s">
        <v>323</v>
      </c>
      <c r="V26" s="3" t="s">
        <v>323</v>
      </c>
      <c r="W26" s="3" t="s">
        <v>323</v>
      </c>
      <c r="X26" s="3" t="s">
        <v>323</v>
      </c>
      <c r="Y26" s="3" t="s">
        <v>323</v>
      </c>
    </row>
    <row r="27" spans="3:26">
      <c r="L27" s="265">
        <f>(L16-E16)/E16</f>
        <v>0.1145566123367142</v>
      </c>
      <c r="M27" s="1"/>
      <c r="N27" s="1"/>
      <c r="O27" s="265">
        <f>(O16-L16)/L16</f>
        <v>-0.11478573388688731</v>
      </c>
      <c r="P27" s="1"/>
      <c r="Q27" s="1"/>
      <c r="R27" s="1"/>
      <c r="S27" s="1"/>
      <c r="T27" s="265">
        <f t="shared" ref="T27:Y27" si="0">(T16-$O$16)/$O$16</f>
        <v>-9.0960000000000041E-2</v>
      </c>
      <c r="U27" s="265">
        <f t="shared" si="0"/>
        <v>-8.0879999999999938E-2</v>
      </c>
      <c r="V27" s="265">
        <f t="shared" si="0"/>
        <v>-5.8649999999999952E-2</v>
      </c>
      <c r="W27" s="265">
        <f t="shared" si="0"/>
        <v>-3.3870000000000004E-2</v>
      </c>
      <c r="X27" s="266">
        <f t="shared" si="0"/>
        <v>-1.465999999999994E-2</v>
      </c>
      <c r="Y27" s="265">
        <f t="shared" si="0"/>
        <v>-6.2549999999999953E-2</v>
      </c>
    </row>
    <row r="29" spans="3:26">
      <c r="D29" s="89"/>
      <c r="E29" s="89" t="s">
        <v>16</v>
      </c>
      <c r="F29" s="89" t="s">
        <v>17</v>
      </c>
      <c r="G29" s="90" t="s">
        <v>18</v>
      </c>
      <c r="H29" s="91" t="s">
        <v>19</v>
      </c>
      <c r="I29" s="90" t="s">
        <v>20</v>
      </c>
      <c r="J29" s="91" t="s">
        <v>21</v>
      </c>
      <c r="K29" s="90" t="s">
        <v>22</v>
      </c>
      <c r="L29" s="91" t="s">
        <v>23</v>
      </c>
      <c r="M29" s="90" t="s">
        <v>24</v>
      </c>
      <c r="N29" s="91" t="s">
        <v>25</v>
      </c>
      <c r="O29" s="90" t="s">
        <v>26</v>
      </c>
      <c r="P29" s="91" t="s">
        <v>27</v>
      </c>
      <c r="Q29" s="90" t="s">
        <v>28</v>
      </c>
      <c r="R29" s="91" t="s">
        <v>48</v>
      </c>
      <c r="S29" s="91" t="s">
        <v>76</v>
      </c>
      <c r="T29" s="91" t="s">
        <v>101</v>
      </c>
      <c r="U29" s="91" t="s">
        <v>106</v>
      </c>
      <c r="V29" s="91" t="s">
        <v>289</v>
      </c>
      <c r="W29" s="91" t="s">
        <v>291</v>
      </c>
      <c r="X29" s="91" t="s">
        <v>300</v>
      </c>
      <c r="Y29" s="91" t="s">
        <v>326</v>
      </c>
    </row>
    <row r="30" spans="3:26">
      <c r="D30" s="267" t="s">
        <v>324</v>
      </c>
      <c r="E30" s="268">
        <v>100</v>
      </c>
      <c r="F30" s="268">
        <f>E30/'RME data'!G30*'RME data'!H30</f>
        <v>102.26365650010847</v>
      </c>
      <c r="G30" s="268">
        <f>F30/'RME data'!H30*'RME data'!I30</f>
        <v>102.03059833796377</v>
      </c>
      <c r="H30" s="268">
        <f>G30/'RME data'!I30*'RME data'!J30</f>
        <v>102.81482316116539</v>
      </c>
      <c r="I30" s="268">
        <f>H30/'RME data'!J30*'RME data'!K30</f>
        <v>107.14626771629399</v>
      </c>
      <c r="J30" s="268">
        <f>I30/'RME data'!K30*'RME data'!L30</f>
        <v>108.57786990726288</v>
      </c>
      <c r="K30" s="268">
        <f>J30/'RME data'!L30*'RME data'!M30</f>
        <v>112.68758361982562</v>
      </c>
      <c r="L30" s="268">
        <f>K30/'RME data'!M30*'RME data'!N30</f>
        <v>115.51375213827647</v>
      </c>
      <c r="M30" s="268">
        <f>L30/'RME data'!N30*'RME data'!O30</f>
        <v>113.18465594790223</v>
      </c>
      <c r="N30" s="268">
        <f>M30/'RME data'!O30*'RME data'!P30</f>
        <v>97.984577020891422</v>
      </c>
      <c r="O30" s="268">
        <f>N30/'RME data'!P30*'RME data'!Q30</f>
        <v>95.532767272487462</v>
      </c>
      <c r="P30" s="268">
        <f>O30/'RME data'!Q30*'RME data'!R30</f>
        <v>98.971727613931634</v>
      </c>
      <c r="Q30" s="268">
        <f>P30/'RME data'!R30*'RME data'!S30</f>
        <v>90.985024883892237</v>
      </c>
      <c r="R30" s="268">
        <f>Q30/'RME data'!S30*'RME data'!T30</f>
        <v>88.912388777411962</v>
      </c>
      <c r="S30" s="268">
        <f>R30/'RME data'!T30*'RME data'!U30</f>
        <v>89.426763934041062</v>
      </c>
      <c r="T30" s="268">
        <f>S30/'RME data'!U30*'RME data'!V30</f>
        <v>89.004211379773807</v>
      </c>
      <c r="U30" s="268">
        <f>T30/'RME data'!V30*'RME data'!W30</f>
        <v>88.717324638272032</v>
      </c>
      <c r="V30" s="268">
        <f>U30/'RME data'!W30*'RME data'!X30</f>
        <v>91.991017604756706</v>
      </c>
      <c r="W30" s="268">
        <f>V30/'RME data'!X30*'RME data'!Y30</f>
        <v>93.608025103148904</v>
      </c>
      <c r="X30" s="268">
        <f>W30/'RME data'!Y30*'RME data'!Z30</f>
        <v>93.087296567762465</v>
      </c>
      <c r="Y30" s="268">
        <f>X30/'RME data'!Z30*'RME data'!AA30</f>
        <v>0</v>
      </c>
    </row>
    <row r="31" spans="3:26">
      <c r="D31" s="269" t="s">
        <v>325</v>
      </c>
      <c r="E31" s="270">
        <v>100</v>
      </c>
      <c r="F31" s="270">
        <f>E31/E16*F16</f>
        <v>101.06456450530803</v>
      </c>
      <c r="G31" s="270">
        <f>F31/F16*G16</f>
        <v>101.07048423378981</v>
      </c>
      <c r="H31" s="270">
        <f t="shared" ref="H31:T31" si="1">G31/G16*H16</f>
        <v>102.07387821145269</v>
      </c>
      <c r="I31" s="270">
        <f t="shared" si="1"/>
        <v>103.76889380007103</v>
      </c>
      <c r="J31" s="270">
        <f t="shared" si="1"/>
        <v>105.04163542365521</v>
      </c>
      <c r="K31" s="270">
        <f t="shared" si="1"/>
        <v>109.35514424405065</v>
      </c>
      <c r="L31" s="270">
        <f t="shared" si="1"/>
        <v>111.45566123367139</v>
      </c>
      <c r="M31" s="270">
        <f t="shared" si="1"/>
        <v>110.36248470736807</v>
      </c>
      <c r="N31" s="270">
        <f t="shared" si="1"/>
        <v>103.6603654445716</v>
      </c>
      <c r="O31" s="270">
        <f t="shared" si="1"/>
        <v>98.662141363116135</v>
      </c>
      <c r="P31" s="270">
        <f t="shared" si="1"/>
        <v>96.355420498046485</v>
      </c>
      <c r="Q31" s="270">
        <f t="shared" si="1"/>
        <v>91.447965586645083</v>
      </c>
      <c r="R31" s="270">
        <f t="shared" si="1"/>
        <v>88.256245313548277</v>
      </c>
      <c r="S31" s="270">
        <f>R31/R16*S16</f>
        <v>88.200994514384931</v>
      </c>
      <c r="T31" s="270">
        <f t="shared" si="1"/>
        <v>89.687832984727081</v>
      </c>
      <c r="U31" s="270">
        <f>T31/T16*U16</f>
        <v>90.682347369667298</v>
      </c>
      <c r="V31" s="270">
        <f t="shared" ref="V31" si="2">U31/U16*V16</f>
        <v>92.875606772169377</v>
      </c>
      <c r="W31" s="270">
        <f>V31/V16*W16</f>
        <v>95.320454635147385</v>
      </c>
      <c r="X31" s="270">
        <f>W31/W16*X16</f>
        <v>97.215754370732853</v>
      </c>
      <c r="Y31" s="270">
        <f>X31/X16*Y16</f>
        <v>92.490824420853215</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0"/>
  <sheetViews>
    <sheetView showGridLines="0" workbookViewId="0"/>
  </sheetViews>
  <sheetFormatPr defaultColWidth="8.81640625" defaultRowHeight="11.5"/>
  <cols>
    <col min="1" max="3" width="4.7265625" style="3" customWidth="1"/>
    <col min="4" max="4" width="13.54296875" style="3" customWidth="1"/>
    <col min="5" max="5" width="18.6328125" style="3" customWidth="1"/>
    <col min="6" max="6" width="22.26953125" style="3" bestFit="1" customWidth="1"/>
    <col min="7" max="7" width="18.453125" style="3" customWidth="1"/>
    <col min="8" max="8" width="22.90625" style="3" bestFit="1" customWidth="1"/>
    <col min="9" max="9" width="12.7265625" style="3" bestFit="1" customWidth="1"/>
    <col min="10" max="16384" width="8.81640625" style="3"/>
  </cols>
  <sheetData>
    <row r="1" spans="1:14" ht="15.5">
      <c r="A1" s="222" t="s">
        <v>269</v>
      </c>
    </row>
    <row r="2" spans="1:14" ht="12" customHeight="1" thickBot="1"/>
    <row r="3" spans="1:14" ht="12" customHeight="1">
      <c r="C3" s="116" t="s">
        <v>51</v>
      </c>
      <c r="D3" s="19"/>
      <c r="E3" s="19" t="s">
        <v>96</v>
      </c>
      <c r="F3" s="19"/>
      <c r="G3" s="214" t="s">
        <v>331</v>
      </c>
      <c r="H3" s="214"/>
      <c r="I3" s="19"/>
      <c r="J3" s="20"/>
    </row>
    <row r="4" spans="1:14" ht="12" customHeight="1">
      <c r="C4" s="13"/>
      <c r="D4" s="15"/>
      <c r="E4" s="15"/>
      <c r="F4" s="15"/>
      <c r="G4" s="15"/>
      <c r="H4" s="15"/>
      <c r="I4" s="15"/>
      <c r="J4" s="14"/>
    </row>
    <row r="5" spans="1:14" ht="12" customHeight="1">
      <c r="C5" s="13"/>
      <c r="D5" s="11" t="s">
        <v>270</v>
      </c>
      <c r="E5" s="256"/>
      <c r="F5" s="215"/>
      <c r="G5" s="215"/>
      <c r="H5" s="215"/>
      <c r="I5" s="215"/>
      <c r="J5" s="216"/>
      <c r="K5"/>
      <c r="L5"/>
    </row>
    <row r="6" spans="1:14" ht="12" customHeight="1">
      <c r="C6" s="13"/>
      <c r="D6" s="256"/>
      <c r="E6" s="256"/>
      <c r="F6" s="215"/>
      <c r="G6" s="215"/>
      <c r="H6" s="215"/>
      <c r="I6" s="215"/>
      <c r="J6" s="216"/>
      <c r="K6"/>
      <c r="L6"/>
    </row>
    <row r="7" spans="1:14" ht="12" customHeight="1">
      <c r="C7" s="13"/>
      <c r="D7" s="219" t="s">
        <v>9</v>
      </c>
      <c r="E7" s="218">
        <v>44363.397696759261</v>
      </c>
      <c r="F7" s="215"/>
      <c r="G7" s="215"/>
      <c r="H7" s="215"/>
      <c r="I7" s="215"/>
      <c r="J7" s="216"/>
      <c r="K7"/>
      <c r="L7"/>
    </row>
    <row r="8" spans="1:14" ht="12" customHeight="1">
      <c r="C8" s="13"/>
      <c r="D8" s="219" t="s">
        <v>10</v>
      </c>
      <c r="E8" s="218">
        <v>44449.745846620368</v>
      </c>
      <c r="F8" s="215"/>
      <c r="G8" s="215"/>
      <c r="H8" s="215"/>
      <c r="I8" s="215"/>
      <c r="J8" s="216"/>
      <c r="K8"/>
      <c r="L8"/>
    </row>
    <row r="9" spans="1:14" ht="12" customHeight="1">
      <c r="C9" s="13"/>
      <c r="D9" s="219" t="s">
        <v>11</v>
      </c>
      <c r="E9" s="219" t="s">
        <v>12</v>
      </c>
      <c r="F9" s="215"/>
      <c r="G9" s="215"/>
      <c r="H9" s="215"/>
      <c r="I9" s="215"/>
      <c r="J9" s="216"/>
      <c r="K9"/>
      <c r="L9"/>
    </row>
    <row r="10" spans="1:14" ht="12" customHeight="1">
      <c r="C10" s="13"/>
      <c r="D10" s="256"/>
      <c r="E10" s="256"/>
      <c r="F10" s="215"/>
      <c r="G10" s="215"/>
      <c r="H10" s="215"/>
      <c r="I10" s="215"/>
      <c r="J10" s="216"/>
      <c r="K10"/>
      <c r="L10"/>
    </row>
    <row r="11" spans="1:14" ht="12" customHeight="1">
      <c r="C11" s="13"/>
      <c r="D11" s="11" t="s">
        <v>13</v>
      </c>
      <c r="E11" s="11" t="s">
        <v>271</v>
      </c>
      <c r="F11" s="215"/>
      <c r="G11" s="215"/>
      <c r="H11" s="215"/>
      <c r="I11" s="215"/>
      <c r="J11" s="216"/>
      <c r="K11"/>
      <c r="L11"/>
    </row>
    <row r="12" spans="1:14" ht="12" customHeight="1">
      <c r="C12" s="13"/>
      <c r="D12" s="11" t="s">
        <v>272</v>
      </c>
      <c r="E12" s="11" t="s">
        <v>14</v>
      </c>
      <c r="F12" s="215"/>
      <c r="G12" s="215"/>
      <c r="H12" s="215"/>
      <c r="I12" s="215"/>
      <c r="J12" s="216"/>
      <c r="K12"/>
      <c r="L12"/>
    </row>
    <row r="13" spans="1:14" ht="12" customHeight="1">
      <c r="C13" s="13"/>
      <c r="D13" s="11" t="s">
        <v>15</v>
      </c>
      <c r="E13" s="11" t="s">
        <v>303</v>
      </c>
      <c r="F13" s="215"/>
      <c r="G13" s="215"/>
      <c r="H13" s="215"/>
      <c r="I13" s="215"/>
      <c r="J13" s="216"/>
      <c r="K13"/>
      <c r="L13"/>
    </row>
    <row r="14" spans="1:14" ht="12" customHeight="1">
      <c r="C14" s="13"/>
      <c r="D14" s="215"/>
      <c r="E14" s="215"/>
      <c r="F14" s="215"/>
      <c r="G14" s="215"/>
      <c r="H14" s="215"/>
      <c r="I14" s="215"/>
      <c r="J14" s="216"/>
      <c r="K14"/>
      <c r="L14"/>
    </row>
    <row r="15" spans="1:14" ht="12" customHeight="1">
      <c r="C15" s="13"/>
      <c r="D15" s="84" t="s">
        <v>120</v>
      </c>
      <c r="E15" s="84" t="s">
        <v>273</v>
      </c>
      <c r="F15" s="84" t="s">
        <v>274</v>
      </c>
      <c r="G15" s="84" t="s">
        <v>275</v>
      </c>
      <c r="H15" s="84" t="s">
        <v>276</v>
      </c>
      <c r="I15" s="84" t="s">
        <v>277</v>
      </c>
      <c r="J15" s="216"/>
      <c r="K15"/>
      <c r="L15"/>
    </row>
    <row r="16" spans="1:14" ht="12" customHeight="1">
      <c r="C16" s="13"/>
      <c r="D16" s="84" t="s">
        <v>118</v>
      </c>
      <c r="E16" s="84" t="s">
        <v>278</v>
      </c>
      <c r="F16" s="84" t="s">
        <v>279</v>
      </c>
      <c r="G16" s="84" t="s">
        <v>280</v>
      </c>
      <c r="H16" s="84" t="s">
        <v>281</v>
      </c>
      <c r="I16" s="84" t="s">
        <v>282</v>
      </c>
      <c r="J16" s="216"/>
      <c r="K16"/>
      <c r="L16" s="91" t="s">
        <v>120</v>
      </c>
      <c r="M16" s="91" t="s">
        <v>274</v>
      </c>
      <c r="N16" s="90" t="s">
        <v>275</v>
      </c>
    </row>
    <row r="17" spans="3:14" ht="12" customHeight="1">
      <c r="C17" s="13"/>
      <c r="D17" s="84" t="s">
        <v>76</v>
      </c>
      <c r="E17" s="84" t="s">
        <v>14</v>
      </c>
      <c r="F17" s="85">
        <v>8201978.9100000001</v>
      </c>
      <c r="G17" s="85">
        <v>2232995.06</v>
      </c>
      <c r="H17" s="85">
        <v>2020728.73</v>
      </c>
      <c r="I17" s="85">
        <v>12455702.699999999</v>
      </c>
      <c r="J17" s="216"/>
      <c r="K17"/>
      <c r="L17" s="91" t="str">
        <f>D17</f>
        <v>2014</v>
      </c>
      <c r="M17" s="280">
        <f>F17/(F17+G17)</f>
        <v>0.78600856442768874</v>
      </c>
      <c r="N17" s="280">
        <f>G17/(G17+F17)</f>
        <v>0.21399143557231123</v>
      </c>
    </row>
    <row r="18" spans="3:14" ht="12" customHeight="1">
      <c r="C18" s="13"/>
      <c r="D18" s="84" t="s">
        <v>101</v>
      </c>
      <c r="E18" s="84" t="s">
        <v>14</v>
      </c>
      <c r="F18" s="85">
        <v>8355924.1500000004</v>
      </c>
      <c r="G18" s="85">
        <v>2367778.9900000002</v>
      </c>
      <c r="H18" s="85">
        <v>2162539.23</v>
      </c>
      <c r="I18" s="85">
        <v>12886242.369999999</v>
      </c>
      <c r="J18" s="216"/>
      <c r="K18"/>
      <c r="L18" s="91" t="str">
        <f t="shared" ref="L18:L22" si="0">D18</f>
        <v>2015</v>
      </c>
      <c r="M18" s="280">
        <f t="shared" ref="M18:M21" si="1">F18/(F18+G18)</f>
        <v>0.7792013673739201</v>
      </c>
      <c r="N18" s="280">
        <f t="shared" ref="N18:N21" si="2">G18/(G18+F18)</f>
        <v>0.22079863262607996</v>
      </c>
    </row>
    <row r="19" spans="3:14" ht="12" customHeight="1">
      <c r="C19" s="13"/>
      <c r="D19" s="84" t="s">
        <v>106</v>
      </c>
      <c r="E19" s="84" t="s">
        <v>14</v>
      </c>
      <c r="F19" s="85">
        <v>8562135.4900000002</v>
      </c>
      <c r="G19" s="85">
        <v>2457009.31</v>
      </c>
      <c r="H19" s="85">
        <v>2177924.1</v>
      </c>
      <c r="I19" s="85">
        <v>13197068.9</v>
      </c>
      <c r="J19" s="216"/>
      <c r="K19"/>
      <c r="L19" s="91" t="str">
        <f t="shared" si="0"/>
        <v>2016</v>
      </c>
      <c r="M19" s="280">
        <f t="shared" si="1"/>
        <v>0.77702359351880013</v>
      </c>
      <c r="N19" s="280">
        <f t="shared" si="2"/>
        <v>0.22297640648119987</v>
      </c>
    </row>
    <row r="20" spans="3:14" ht="12" customHeight="1">
      <c r="C20" s="13"/>
      <c r="D20" s="84" t="s">
        <v>289</v>
      </c>
      <c r="E20" s="84" t="s">
        <v>14</v>
      </c>
      <c r="F20" s="85">
        <v>8846747.8800000008</v>
      </c>
      <c r="G20" s="85">
        <v>2610396.4900000002</v>
      </c>
      <c r="H20" s="85">
        <v>2337580.39</v>
      </c>
      <c r="I20" s="85">
        <v>13794724.75</v>
      </c>
      <c r="J20" s="216"/>
      <c r="K20"/>
      <c r="L20" s="91" t="str">
        <f t="shared" si="0"/>
        <v>2017</v>
      </c>
      <c r="M20" s="280">
        <f t="shared" si="1"/>
        <v>0.77215993744172395</v>
      </c>
      <c r="N20" s="280">
        <f t="shared" si="2"/>
        <v>0.22784006255827602</v>
      </c>
    </row>
    <row r="21" spans="3:14" ht="12" customHeight="1">
      <c r="C21" s="13"/>
      <c r="D21" s="84" t="s">
        <v>291</v>
      </c>
      <c r="E21" s="84" t="s">
        <v>14</v>
      </c>
      <c r="F21" s="85">
        <v>9109797.6400000006</v>
      </c>
      <c r="G21" s="85">
        <v>2752955.39</v>
      </c>
      <c r="H21" s="85">
        <v>2412537.46</v>
      </c>
      <c r="I21" s="85">
        <v>14275290.49</v>
      </c>
      <c r="J21" s="216"/>
      <c r="K21"/>
      <c r="L21" s="91" t="str">
        <f t="shared" si="0"/>
        <v>2018</v>
      </c>
      <c r="M21" s="280">
        <f t="shared" si="1"/>
        <v>0.76793284130269035</v>
      </c>
      <c r="N21" s="280">
        <f t="shared" si="2"/>
        <v>0.23206715869730957</v>
      </c>
    </row>
    <row r="22" spans="3:14" ht="12" customHeight="1">
      <c r="C22" s="13"/>
      <c r="D22" s="84" t="s">
        <v>300</v>
      </c>
      <c r="E22" s="84" t="s">
        <v>14</v>
      </c>
      <c r="F22" s="85">
        <v>9383157.0800000001</v>
      </c>
      <c r="G22" s="85">
        <v>2893694.9</v>
      </c>
      <c r="H22" s="85">
        <v>2500517.91</v>
      </c>
      <c r="I22" s="85">
        <v>14777369.890000001</v>
      </c>
      <c r="J22" s="216"/>
      <c r="K22"/>
      <c r="L22" s="91" t="str">
        <f t="shared" si="0"/>
        <v>2019</v>
      </c>
      <c r="M22" s="281">
        <f t="shared" ref="M22" si="3">F22/(F22+G22)</f>
        <v>0.7642966694789457</v>
      </c>
      <c r="N22" s="281">
        <f t="shared" ref="N22" si="4">G22/(G22+F22)</f>
        <v>0.2357033305210543</v>
      </c>
    </row>
    <row r="23" spans="3:14" ht="12" customHeight="1">
      <c r="C23" s="13"/>
      <c r="D23" s="256"/>
      <c r="E23" s="256"/>
      <c r="F23" s="256"/>
      <c r="G23" s="256"/>
      <c r="H23" s="256"/>
      <c r="I23" s="256"/>
      <c r="J23" s="216"/>
      <c r="K23"/>
      <c r="L23"/>
    </row>
    <row r="24" spans="3:14" ht="12" customHeight="1">
      <c r="C24" s="13"/>
      <c r="D24" s="11" t="s">
        <v>38</v>
      </c>
      <c r="E24" s="256"/>
      <c r="F24" s="256"/>
      <c r="G24" s="256"/>
      <c r="H24" s="256"/>
      <c r="I24" s="256"/>
      <c r="J24" s="216"/>
      <c r="K24"/>
      <c r="L24"/>
    </row>
    <row r="25" spans="3:14" ht="12" customHeight="1">
      <c r="C25" s="13"/>
      <c r="D25" s="11" t="s">
        <v>36</v>
      </c>
      <c r="E25" s="11" t="s">
        <v>39</v>
      </c>
      <c r="F25" s="256"/>
      <c r="G25" s="256"/>
      <c r="H25" s="256"/>
      <c r="I25" s="256"/>
      <c r="J25" s="216"/>
      <c r="K25"/>
      <c r="L25"/>
    </row>
    <row r="26" spans="3:14" ht="12" customHeight="1" thickBot="1">
      <c r="C26" s="16"/>
      <c r="D26" s="17"/>
      <c r="E26" s="17"/>
      <c r="F26" s="17"/>
      <c r="G26" s="17"/>
      <c r="H26" s="17"/>
      <c r="I26" s="17"/>
      <c r="J26" s="18"/>
    </row>
    <row r="27" spans="3:14" ht="12" customHeight="1"/>
    <row r="28" spans="3:14" ht="12" customHeight="1"/>
    <row r="30" spans="3:14">
      <c r="E30" s="217"/>
      <c r="F30" s="21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Fig1</vt:lpstr>
      <vt:lpstr>Fig2</vt:lpstr>
      <vt:lpstr>Fig3</vt:lpstr>
      <vt:lpstr>Fig4</vt:lpstr>
      <vt:lpstr>Table1</vt:lpstr>
      <vt:lpstr>RME data</vt:lpstr>
      <vt:lpstr>RME detailed data</vt:lpstr>
      <vt:lpstr>EW-MFA data</vt:lpstr>
      <vt:lpstr>GVA construction</vt:lpstr>
      <vt:lpstr>Aux data final demand</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(ESTAT);Maaike.BOUWMEESTER@ec.europa.eu</dc:creator>
  <cp:lastModifiedBy>DOS SANTOS BAPTISTA Nuno (ESTAT)</cp:lastModifiedBy>
  <cp:lastPrinted>2017-11-14T15:24:01Z</cp:lastPrinted>
  <dcterms:created xsi:type="dcterms:W3CDTF">2014-08-08T07:56:32Z</dcterms:created>
  <dcterms:modified xsi:type="dcterms:W3CDTF">2021-09-14T13:42:21Z</dcterms:modified>
</cp:coreProperties>
</file>